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4340" yWindow="620" windowWidth="24460" windowHeight="15720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Charts" sheetId="2" state="visible" r:id="rId2"/>
    <sheet xmlns:r="http://schemas.openxmlformats.org/officeDocument/2006/relationships" name="Call-out" sheetId="3" state="visible" r:id="rId3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45427.3872453704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fullCalcOnLoad="1"/>
</workbook>
</file>

<file path=xl/styles.xml><?xml version="1.0" encoding="utf-8"?>
<styleSheet xmlns="http://schemas.openxmlformats.org/spreadsheetml/2006/main">
  <numFmts count="15">
    <numFmt numFmtId="164" formatCode="0.0\x"/>
    <numFmt numFmtId="165" formatCode="&quot;$&quot;#,##0.0"/>
    <numFmt numFmtId="166" formatCode="_(&quot;$&quot;* #,##0.0_);_(&quot;$&quot;* \(#,##0.0\);_(&quot;$&quot;* &quot;-&quot;_);_(@_)"/>
    <numFmt numFmtId="167" formatCode="_(* #,##0.0_);_(* \(#,##0.0\);_(* &quot;-&quot;??_);_(@_)"/>
    <numFmt numFmtId="168" formatCode="_(&quot;$&quot;* #,##0.00_);_(&quot;$&quot;* \(#,##0.00\);_(&quot;$&quot;* &quot;-&quot;??_);_(@_)"/>
    <numFmt numFmtId="169" formatCode="0.0%"/>
    <numFmt numFmtId="170" formatCode="0.0"/>
    <numFmt numFmtId="171" formatCode="&quot;$&quot;#,##0.00;[Red]&quot;$&quot;#,##0.00"/>
    <numFmt numFmtId="172" formatCode="&quot;$&quot;#,##0.00"/>
    <numFmt numFmtId="173" formatCode="_(* #,##0.0_);_(* \(#,##0.0\);_(* &quot;-&quot;?_);_(@_)"/>
    <numFmt numFmtId="174" formatCode="_(&quot;$&quot;* #,##0.0_);_(&quot;$&quot;* \(#,##0.0\);_(&quot;$&quot;* &quot;-&quot;??_);_(@_)"/>
    <numFmt numFmtId="175" formatCode="_(* #,##0.00_);_(* \(#,##0.00\);_(* &quot;-&quot;_);_(@_)"/>
    <numFmt numFmtId="176" formatCode="_(* #,##0_);_(* \(#,##0\);_(* &quot;-&quot;??_);_(@_)"/>
    <numFmt numFmtId="177" formatCode="_(&quot;$&quot;* #,##0_);_(&quot;$&quot;* \(#,##0\);_(&quot;$&quot;* &quot;-&quot;??_);_(@_)"/>
    <numFmt numFmtId="178" formatCode="&quot;$&quot;#,##0"/>
  </numFmts>
  <fonts count="50">
    <font>
      <name val="Arial Narrow"/>
      <family val="2"/>
      <color theme="1"/>
      <sz val="11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 Narrow"/>
      <family val="2"/>
      <color theme="1"/>
      <sz val="11"/>
    </font>
    <font>
      <name val="Calibri"/>
      <family val="2"/>
      <color theme="1"/>
      <sz val="11"/>
      <scheme val="minor"/>
    </font>
    <font>
      <name val="Calibri"/>
      <family val="2"/>
      <color rgb="FF0070C0"/>
      <sz val="11"/>
      <scheme val="minor"/>
    </font>
    <font>
      <name val="Calibri"/>
      <family val="2"/>
      <color rgb="FF00B050"/>
      <sz val="11"/>
      <scheme val="minor"/>
    </font>
    <font>
      <name val="Tahoma"/>
      <family val="2"/>
      <b val="1"/>
      <color indexed="81"/>
      <sz val="9"/>
    </font>
    <font>
      <name val="Tahoma"/>
      <family val="2"/>
      <color indexed="81"/>
      <sz val="9"/>
    </font>
    <font>
      <name val="Calibri"/>
      <family val="2"/>
      <color theme="0" tint="-0.499984740745262"/>
      <sz val="11"/>
      <scheme val="minor"/>
    </font>
    <font>
      <name val="Calibri"/>
      <family val="2"/>
      <b val="1"/>
      <color rgb="FF0070C0"/>
      <sz val="11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0"/>
      <sz val="11"/>
      <u val="single"/>
      <scheme val="minor"/>
    </font>
    <font>
      <name val="Calibri"/>
      <family val="2"/>
      <b val="1"/>
      <sz val="11"/>
      <scheme val="minor"/>
    </font>
    <font>
      <name val="Calibri"/>
      <family val="2"/>
      <sz val="11"/>
      <scheme val="minor"/>
    </font>
    <font>
      <name val="Calibri"/>
      <family val="2"/>
      <color theme="1"/>
      <sz val="11"/>
      <u val="single"/>
      <scheme val="minor"/>
    </font>
    <font>
      <name val="Calibri"/>
      <family val="2"/>
      <b val="1"/>
      <color theme="0"/>
      <sz val="11"/>
      <u val="single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i val="1"/>
      <sz val="11"/>
      <scheme val="minor"/>
    </font>
    <font>
      <name val="Calibri"/>
      <family val="2"/>
      <color theme="4"/>
      <sz val="11"/>
      <scheme val="minor"/>
    </font>
    <font>
      <name val="Calibri"/>
      <family val="2"/>
      <color theme="0"/>
      <sz val="11"/>
      <scheme val="minor"/>
    </font>
    <font>
      <name val="Calibri"/>
      <family val="2"/>
      <color rgb="FF000000"/>
      <sz val="11"/>
      <scheme val="minor"/>
    </font>
    <font>
      <name val="Calibri"/>
      <family val="2"/>
      <color theme="0"/>
      <sz val="11"/>
      <u val="singleAccounting"/>
      <scheme val="minor"/>
    </font>
    <font>
      <name val="Calibri"/>
      <family val="2"/>
      <color rgb="FFFF0000"/>
      <sz val="11"/>
      <scheme val="minor"/>
    </font>
    <font>
      <name val="Calibri"/>
      <family val="2"/>
      <color rgb="FF0070C0"/>
      <sz val="11"/>
      <u val="singleAccounting"/>
      <scheme val="minor"/>
    </font>
    <font>
      <name val="Calibri"/>
      <family val="2"/>
      <color rgb="FF00B050"/>
      <sz val="11"/>
      <u val="single"/>
      <scheme val="minor"/>
    </font>
    <font>
      <name val="Calibri"/>
      <family val="2"/>
      <color theme="0" tint="-0.499984740745262"/>
      <sz val="11"/>
      <u val="singleAccounting"/>
      <scheme val="minor"/>
    </font>
    <font>
      <name val="Calibri"/>
      <family val="2"/>
      <color theme="0" tint="-0.499984740745262"/>
      <sz val="11"/>
      <u val="single"/>
      <scheme val="minor"/>
    </font>
    <font>
      <name val="Calibri"/>
      <family val="2"/>
      <b val="1"/>
      <color theme="0" tint="-0.499984740745262"/>
      <sz val="11"/>
      <scheme val="minor"/>
    </font>
    <font>
      <name val="Calibri"/>
      <family val="2"/>
      <color rgb="FFFF5656"/>
      <sz val="11"/>
      <scheme val="minor"/>
    </font>
    <font>
      <name val="Calibri"/>
      <family val="2"/>
      <color rgb="FF0091FF"/>
      <sz val="11"/>
      <scheme val="minor"/>
    </font>
    <font>
      <name val="Calibri"/>
      <family val="2"/>
      <color rgb="FF0091FF"/>
      <sz val="11"/>
      <u val="singleAccounting"/>
      <scheme val="minor"/>
    </font>
    <font>
      <name val="Calibri"/>
      <family val="2"/>
      <color rgb="FF55AB55"/>
      <sz val="11"/>
      <scheme val="minor"/>
    </font>
    <font>
      <name val="Calibri"/>
      <family val="2"/>
      <color rgb="FF55AB55"/>
      <sz val="11"/>
      <u val="single"/>
      <scheme val="minor"/>
    </font>
    <font>
      <name val="Calibri"/>
      <family val="2"/>
      <color rgb="FF55AB55"/>
      <sz val="11"/>
      <u val="singleAccounting"/>
      <scheme val="minor"/>
    </font>
    <font>
      <name val="Calibri"/>
      <family val="2"/>
      <color rgb="FF2F5597"/>
      <sz val="11"/>
      <scheme val="minor"/>
    </font>
    <font>
      <name val="Calibri"/>
      <family val="2"/>
      <b val="1"/>
      <color rgb="FF3B3838"/>
      <sz val="11"/>
      <scheme val="minor"/>
    </font>
    <font>
      <name val="Calibri"/>
      <family val="2"/>
      <color rgb="FF3B3838"/>
      <sz val="11"/>
      <scheme val="minor"/>
    </font>
    <font>
      <name val="Calibri"/>
      <family val="2"/>
      <i val="1"/>
      <color rgb="FFF216B1"/>
      <sz val="11"/>
      <scheme val="minor"/>
    </font>
    <font>
      <name val="Calibri"/>
      <family val="2"/>
      <color rgb="FFF216B1"/>
      <sz val="11"/>
      <scheme val="minor"/>
    </font>
    <font>
      <name val="Calibri"/>
      <family val="2"/>
      <i val="1"/>
      <color rgb="FF1402F9"/>
      <sz val="11"/>
      <scheme val="minor"/>
    </font>
    <font>
      <name val="Calibri"/>
      <family val="2"/>
      <color rgb="FF1402F9"/>
      <sz val="11"/>
      <scheme val="minor"/>
    </font>
    <font>
      <name val="Tahoma"/>
      <family val="2"/>
      <b val="1"/>
      <color rgb="FF000000"/>
      <sz val="9"/>
    </font>
    <font>
      <name val="Tahoma"/>
      <family val="2"/>
      <color rgb="FF000000"/>
      <sz val="9"/>
    </font>
  </fonts>
  <fills count="11">
    <fill>
      <patternFill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theme="3" tint="0.79998168889431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theme="9" tint="0.799981688894314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8" fillId="0" borderId="0"/>
    <xf numFmtId="43" fontId="8" fillId="0" borderId="0"/>
    <xf numFmtId="44" fontId="8" fillId="0" borderId="0"/>
    <xf numFmtId="9" fontId="8" fillId="0" borderId="0"/>
    <xf numFmtId="0" fontId="9" fillId="0" borderId="0"/>
  </cellStyleXfs>
  <cellXfs count="409">
    <xf numFmtId="0" fontId="0" fillId="0" borderId="0" pivotButton="0" quotePrefix="0" xfId="0"/>
    <xf numFmtId="0" fontId="15" fillId="0" borderId="0" pivotButton="0" quotePrefix="0" xfId="0"/>
    <xf numFmtId="0" fontId="9" fillId="0" borderId="0" pivotButton="0" quotePrefix="0" xfId="0"/>
    <xf numFmtId="0" fontId="9" fillId="0" borderId="1" applyAlignment="1" pivotButton="0" quotePrefix="0" xfId="0">
      <alignment horizontal="left"/>
    </xf>
    <xf numFmtId="0" fontId="9" fillId="0" borderId="1" pivotButton="0" quotePrefix="0" xfId="0"/>
    <xf numFmtId="0" fontId="9" fillId="0" borderId="0" applyAlignment="1" pivotButton="0" quotePrefix="0" xfId="0">
      <alignment horizontal="centerContinuous"/>
    </xf>
    <xf numFmtId="0" fontId="9" fillId="0" borderId="0" applyAlignment="1" pivotButton="0" quotePrefix="0" xfId="0">
      <alignment horizontal="left"/>
    </xf>
    <xf numFmtId="0" fontId="19" fillId="0" borderId="0" applyAlignment="1" pivotButton="0" quotePrefix="0" xfId="0">
      <alignment horizontal="right"/>
    </xf>
    <xf numFmtId="0" fontId="9" fillId="2" borderId="0" pivotButton="0" quotePrefix="0" xfId="0"/>
    <xf numFmtId="0" fontId="9" fillId="0" borderId="5" pivotButton="0" quotePrefix="0" xfId="0"/>
    <xf numFmtId="164" fontId="9" fillId="0" borderId="6" pivotButton="0" quotePrefix="0" xfId="0"/>
    <xf numFmtId="14" fontId="17" fillId="0" borderId="0" pivotButton="0" quotePrefix="0" xfId="0"/>
    <xf numFmtId="0" fontId="17" fillId="0" borderId="0" pivotButton="0" quotePrefix="0" xfId="0"/>
    <xf numFmtId="165" fontId="15" fillId="0" borderId="0" pivotButton="0" quotePrefix="0" xfId="0"/>
    <xf numFmtId="165" fontId="17" fillId="0" borderId="2" pivotButton="0" quotePrefix="0" xfId="0"/>
    <xf numFmtId="165" fontId="17" fillId="2" borderId="2" pivotButton="0" quotePrefix="0" xfId="0"/>
    <xf numFmtId="165" fontId="17" fillId="0" borderId="0" pivotButton="0" quotePrefix="0" xfId="2"/>
    <xf numFmtId="165" fontId="17" fillId="2" borderId="0" pivotButton="0" quotePrefix="0" xfId="2"/>
    <xf numFmtId="165" fontId="20" fillId="0" borderId="0" pivotButton="0" quotePrefix="0" xfId="2"/>
    <xf numFmtId="165" fontId="20" fillId="2" borderId="0" pivotButton="0" quotePrefix="0" xfId="2"/>
    <xf numFmtId="165" fontId="9" fillId="0" borderId="0" pivotButton="0" quotePrefix="0" xfId="0"/>
    <xf numFmtId="165" fontId="9" fillId="2" borderId="0" pivotButton="0" quotePrefix="0" xfId="0"/>
    <xf numFmtId="165" fontId="9" fillId="0" borderId="0" pivotButton="0" quotePrefix="0" xfId="2"/>
    <xf numFmtId="165" fontId="9" fillId="2" borderId="0" pivotButton="0" quotePrefix="0" xfId="2"/>
    <xf numFmtId="0" fontId="9" fillId="0" borderId="6" pivotButton="0" quotePrefix="0" xfId="0"/>
    <xf numFmtId="0" fontId="21" fillId="0" borderId="5" pivotButton="0" quotePrefix="0" xfId="0"/>
    <xf numFmtId="166" fontId="9" fillId="0" borderId="0" pivotButton="0" quotePrefix="0" xfId="2"/>
    <xf numFmtId="167" fontId="9" fillId="0" borderId="0" pivotButton="0" quotePrefix="0" xfId="1"/>
    <xf numFmtId="0" fontId="9" fillId="0" borderId="5" applyAlignment="1" pivotButton="0" quotePrefix="0" xfId="0">
      <alignment horizontal="left"/>
    </xf>
    <xf numFmtId="168" fontId="9" fillId="0" borderId="0" pivotButton="0" quotePrefix="0" xfId="2"/>
    <xf numFmtId="169" fontId="9" fillId="0" borderId="6" pivotButton="0" quotePrefix="0" xfId="3"/>
    <xf numFmtId="0" fontId="21" fillId="0" borderId="0" pivotButton="0" quotePrefix="0" xfId="0"/>
    <xf numFmtId="170" fontId="20" fillId="0" borderId="0" pivotButton="0" quotePrefix="0" xfId="0"/>
    <xf numFmtId="167" fontId="20" fillId="0" borderId="0" pivotButton="0" quotePrefix="0" xfId="1"/>
    <xf numFmtId="0" fontId="9" fillId="0" borderId="7" pivotButton="0" quotePrefix="0" xfId="0"/>
    <xf numFmtId="0" fontId="9" fillId="0" borderId="8" pivotButton="0" quotePrefix="0" xfId="0"/>
    <xf numFmtId="171" fontId="9" fillId="0" borderId="8" pivotButton="0" quotePrefix="0" xfId="0"/>
    <xf numFmtId="172" fontId="9" fillId="0" borderId="9" pivotButton="0" quotePrefix="0" xfId="0"/>
    <xf numFmtId="43" fontId="9" fillId="0" borderId="0" pivotButton="0" quotePrefix="0" xfId="1"/>
    <xf numFmtId="0" fontId="17" fillId="0" borderId="0" applyAlignment="1" pivotButton="0" quotePrefix="0" xfId="0">
      <alignment horizontal="center"/>
    </xf>
    <xf numFmtId="166" fontId="10" fillId="0" borderId="0" pivotButton="0" quotePrefix="0" xfId="0"/>
    <xf numFmtId="167" fontId="10" fillId="0" borderId="0" pivotButton="0" quotePrefix="0" xfId="1"/>
    <xf numFmtId="0" fontId="9" fillId="0" borderId="0" pivotButton="0" quotePrefix="1" xfId="0"/>
    <xf numFmtId="166" fontId="20" fillId="0" borderId="2" pivotButton="0" quotePrefix="0" xfId="0"/>
    <xf numFmtId="166" fontId="20" fillId="2" borderId="2" pivotButton="0" quotePrefix="0" xfId="0"/>
    <xf numFmtId="166" fontId="9" fillId="0" borderId="2" pivotButton="0" quotePrefix="0" xfId="0"/>
    <xf numFmtId="166" fontId="9" fillId="2" borderId="2" pivotButton="0" quotePrefix="0" xfId="0"/>
    <xf numFmtId="166" fontId="9" fillId="0" borderId="0" pivotButton="0" quotePrefix="0" xfId="0"/>
    <xf numFmtId="0" fontId="23" fillId="0" borderId="0" pivotButton="0" quotePrefix="0" xfId="0"/>
    <xf numFmtId="169" fontId="24" fillId="0" borderId="0" pivotButton="0" quotePrefix="0" xfId="0"/>
    <xf numFmtId="169" fontId="24" fillId="2" borderId="0" pivotButton="0" quotePrefix="0" xfId="0"/>
    <xf numFmtId="169" fontId="23" fillId="0" borderId="0" pivotButton="0" quotePrefix="0" xfId="0"/>
    <xf numFmtId="169" fontId="23" fillId="2" borderId="0" pivotButton="0" quotePrefix="0" xfId="0"/>
    <xf numFmtId="0" fontId="20" fillId="0" borderId="0" pivotButton="0" quotePrefix="0" xfId="0"/>
    <xf numFmtId="0" fontId="20" fillId="2" borderId="0" pivotButton="0" quotePrefix="0" xfId="0"/>
    <xf numFmtId="167" fontId="10" fillId="0" borderId="0" pivotButton="0" quotePrefix="0" xfId="1"/>
    <xf numFmtId="167" fontId="10" fillId="2" borderId="0" pivotButton="0" quotePrefix="0" xfId="1"/>
    <xf numFmtId="167" fontId="20" fillId="2" borderId="0" pivotButton="0" quotePrefix="0" xfId="1"/>
    <xf numFmtId="167" fontId="20" fillId="0" borderId="0" pivotButton="0" quotePrefix="0" xfId="1"/>
    <xf numFmtId="167" fontId="20" fillId="0" borderId="0" pivotButton="0" quotePrefix="0" xfId="0"/>
    <xf numFmtId="167" fontId="20" fillId="2" borderId="0" pivotButton="0" quotePrefix="0" xfId="0"/>
    <xf numFmtId="173" fontId="9" fillId="0" borderId="0" pivotButton="0" quotePrefix="0" xfId="0"/>
    <xf numFmtId="173" fontId="9" fillId="2" borderId="0" pivotButton="0" quotePrefix="0" xfId="0"/>
    <xf numFmtId="174" fontId="10" fillId="0" borderId="0" pivotButton="0" quotePrefix="0" xfId="2"/>
    <xf numFmtId="174" fontId="10" fillId="2" borderId="0" pivotButton="0" quotePrefix="0" xfId="2"/>
    <xf numFmtId="174" fontId="10" fillId="0" borderId="0" pivotButton="0" quotePrefix="0" xfId="2"/>
    <xf numFmtId="166" fontId="9" fillId="2" borderId="0" pivotButton="0" quotePrefix="0" xfId="0"/>
    <xf numFmtId="10" fontId="25" fillId="0" borderId="0" pivotButton="0" quotePrefix="0" xfId="3"/>
    <xf numFmtId="166" fontId="17" fillId="0" borderId="0" pivotButton="0" quotePrefix="0" xfId="0"/>
    <xf numFmtId="166" fontId="17" fillId="2" borderId="0" pivotButton="0" quotePrefix="0" xfId="0"/>
    <xf numFmtId="42" fontId="9" fillId="0" borderId="0" pivotButton="0" quotePrefix="0" xfId="0"/>
    <xf numFmtId="166" fontId="10" fillId="2" borderId="0" pivotButton="0" quotePrefix="0" xfId="0"/>
    <xf numFmtId="166" fontId="20" fillId="0" borderId="0" pivotButton="0" quotePrefix="0" xfId="0"/>
    <xf numFmtId="166" fontId="20" fillId="2" borderId="0" pivotButton="0" quotePrefix="0" xfId="0"/>
    <xf numFmtId="174" fontId="9" fillId="0" borderId="0" pivotButton="0" quotePrefix="0" xfId="2"/>
    <xf numFmtId="174" fontId="9" fillId="2" borderId="0" pivotButton="0" quotePrefix="0" xfId="2"/>
    <xf numFmtId="174" fontId="9" fillId="0" borderId="0" pivotButton="0" quotePrefix="0" xfId="2"/>
    <xf numFmtId="166" fontId="19" fillId="0" borderId="0" pivotButton="0" quotePrefix="0" xfId="0"/>
    <xf numFmtId="166" fontId="19" fillId="2" borderId="0" pivotButton="0" quotePrefix="0" xfId="0"/>
    <xf numFmtId="0" fontId="27" fillId="0" borderId="0" pivotButton="0" quotePrefix="0" xfId="0"/>
    <xf numFmtId="166" fontId="17" fillId="0" borderId="2" pivotButton="0" quotePrefix="0" xfId="0"/>
    <xf numFmtId="166" fontId="17" fillId="2" borderId="2" pivotButton="0" quotePrefix="0" xfId="0"/>
    <xf numFmtId="0" fontId="23" fillId="0" borderId="0" pivotButton="0" quotePrefix="1" xfId="0"/>
    <xf numFmtId="167" fontId="9" fillId="0" borderId="0" pivotButton="0" quotePrefix="0" xfId="1"/>
    <xf numFmtId="167" fontId="9" fillId="2" borderId="0" pivotButton="0" quotePrefix="0" xfId="1"/>
    <xf numFmtId="169" fontId="9" fillId="0" borderId="0" pivotButton="0" quotePrefix="0" xfId="3"/>
    <xf numFmtId="169" fontId="9" fillId="2" borderId="0" pivotButton="0" quotePrefix="0" xfId="3"/>
    <xf numFmtId="169" fontId="9" fillId="0" borderId="0" pivotButton="0" quotePrefix="0" xfId="3"/>
    <xf numFmtId="0" fontId="17" fillId="0" borderId="3" pivotButton="0" quotePrefix="0" xfId="0"/>
    <xf numFmtId="172" fontId="9" fillId="0" borderId="4" pivotButton="0" quotePrefix="0" xfId="0"/>
    <xf numFmtId="0" fontId="15" fillId="0" borderId="5" pivotButton="0" quotePrefix="0" xfId="0"/>
    <xf numFmtId="169" fontId="10" fillId="0" borderId="6" pivotButton="0" quotePrefix="0" xfId="0"/>
    <xf numFmtId="175" fontId="9" fillId="0" borderId="6" pivotButton="0" quotePrefix="0" xfId="0"/>
    <xf numFmtId="0" fontId="17" fillId="0" borderId="7" pivotButton="0" quotePrefix="0" xfId="0"/>
    <xf numFmtId="0" fontId="9" fillId="0" borderId="0" applyAlignment="1" pivotButton="0" quotePrefix="0" xfId="0">
      <alignment horizontal="right"/>
    </xf>
    <xf numFmtId="166" fontId="10" fillId="2" borderId="0" pivotButton="0" quotePrefix="0" xfId="3"/>
    <xf numFmtId="166" fontId="10" fillId="0" borderId="0" pivotButton="0" quotePrefix="0" xfId="3"/>
    <xf numFmtId="0" fontId="10" fillId="0" borderId="0" pivotButton="0" quotePrefix="0" xfId="0"/>
    <xf numFmtId="0" fontId="17" fillId="0" borderId="0" applyAlignment="1" pivotButton="0" quotePrefix="0" xfId="0">
      <alignment horizontal="right"/>
    </xf>
    <xf numFmtId="166" fontId="10" fillId="0" borderId="10" pivotButton="0" quotePrefix="0" xfId="0"/>
    <xf numFmtId="166" fontId="10" fillId="2" borderId="10" pivotButton="0" quotePrefix="0" xfId="0"/>
    <xf numFmtId="4" fontId="9" fillId="0" borderId="0" pivotButton="0" quotePrefix="0" xfId="0"/>
    <xf numFmtId="4" fontId="27" fillId="0" borderId="0" pivotButton="0" quotePrefix="0" xfId="0"/>
    <xf numFmtId="42" fontId="9" fillId="0" borderId="5" pivotButton="0" quotePrefix="0" xfId="0"/>
    <xf numFmtId="166" fontId="9" fillId="0" borderId="8" pivotButton="0" quotePrefix="0" xfId="0"/>
    <xf numFmtId="166" fontId="9" fillId="2" borderId="8" pivotButton="0" quotePrefix="0" xfId="0"/>
    <xf numFmtId="166" fontId="9" fillId="0" borderId="10" pivotButton="0" quotePrefix="0" xfId="0"/>
    <xf numFmtId="166" fontId="9" fillId="2" borderId="10" pivotButton="0" quotePrefix="0" xfId="0"/>
    <xf numFmtId="42" fontId="9" fillId="0" borderId="6" pivotButton="0" quotePrefix="0" xfId="0"/>
    <xf numFmtId="169" fontId="9" fillId="0" borderId="0" pivotButton="0" quotePrefix="0" xfId="3"/>
    <xf numFmtId="169" fontId="9" fillId="2" borderId="0" pivotButton="0" quotePrefix="0" xfId="3"/>
    <xf numFmtId="166" fontId="9" fillId="0" borderId="8" pivotButton="0" quotePrefix="0" xfId="1"/>
    <xf numFmtId="166" fontId="9" fillId="2" borderId="8" pivotButton="0" quotePrefix="0" xfId="1"/>
    <xf numFmtId="166" fontId="9" fillId="0" borderId="0" pivotButton="0" quotePrefix="0" xfId="1"/>
    <xf numFmtId="169" fontId="9" fillId="0" borderId="0" pivotButton="0" quotePrefix="0" xfId="3"/>
    <xf numFmtId="0" fontId="9" fillId="0" borderId="9" pivotButton="0" quotePrefix="0" xfId="0"/>
    <xf numFmtId="10" fontId="9" fillId="0" borderId="0" pivotButton="0" quotePrefix="0" xfId="0"/>
    <xf numFmtId="174" fontId="9" fillId="2" borderId="0" pivotButton="0" quotePrefix="0" xfId="0"/>
    <xf numFmtId="174" fontId="9" fillId="0" borderId="0" pivotButton="0" quotePrefix="0" xfId="0"/>
    <xf numFmtId="0" fontId="17" fillId="3" borderId="11" pivotButton="0" quotePrefix="0" xfId="0"/>
    <xf numFmtId="0" fontId="17" fillId="3" borderId="10" pivotButton="0" quotePrefix="0" xfId="0"/>
    <xf numFmtId="169" fontId="17" fillId="3" borderId="10" pivotButton="0" quotePrefix="0" xfId="0"/>
    <xf numFmtId="169" fontId="17" fillId="3" borderId="12" pivotButton="0" quotePrefix="0" xfId="0"/>
    <xf numFmtId="169" fontId="17" fillId="0" borderId="0" pivotButton="0" quotePrefix="0" xfId="0"/>
    <xf numFmtId="169" fontId="9" fillId="0" borderId="0" pivotButton="0" quotePrefix="0" xfId="0"/>
    <xf numFmtId="0" fontId="9" fillId="0" borderId="0" applyAlignment="1" pivotButton="0" quotePrefix="0" xfId="0">
      <alignment wrapText="1"/>
    </xf>
    <xf numFmtId="166" fontId="29" fillId="0" borderId="0" pivotButton="0" quotePrefix="0" xfId="0"/>
    <xf numFmtId="172" fontId="9" fillId="0" borderId="0" pivotButton="0" quotePrefix="0" xfId="0"/>
    <xf numFmtId="166" fontId="30" fillId="0" borderId="0" applyAlignment="1" pivotButton="0" quotePrefix="0" xfId="0">
      <alignment horizontal="right"/>
    </xf>
    <xf numFmtId="0" fontId="9" fillId="0" borderId="0" pivotButton="0" quotePrefix="0" xfId="4"/>
    <xf numFmtId="166" fontId="9" fillId="0" borderId="0" applyAlignment="1" pivotButton="0" quotePrefix="0" xfId="0">
      <alignment horizontal="right"/>
    </xf>
    <xf numFmtId="166" fontId="31" fillId="0" borderId="0" applyAlignment="1" pivotButton="0" quotePrefix="0" xfId="0">
      <alignment horizontal="right"/>
    </xf>
    <xf numFmtId="172" fontId="9" fillId="0" borderId="0" pivotButton="0" quotePrefix="0" xfId="2"/>
    <xf numFmtId="0" fontId="9" fillId="0" borderId="5" pivotButton="0" quotePrefix="0" xfId="4"/>
    <xf numFmtId="169" fontId="9" fillId="0" borderId="9" pivotButton="0" quotePrefix="0" xfId="3"/>
    <xf numFmtId="0" fontId="9" fillId="0" borderId="13" pivotButton="0" quotePrefix="0" xfId="0"/>
    <xf numFmtId="0" fontId="9" fillId="0" borderId="16" pivotButton="0" quotePrefix="0" xfId="0"/>
    <xf numFmtId="0" fontId="9" fillId="0" borderId="17" pivotButton="0" quotePrefix="0" xfId="0"/>
    <xf numFmtId="0" fontId="17" fillId="0" borderId="19" pivotButton="0" quotePrefix="0" xfId="0"/>
    <xf numFmtId="174" fontId="9" fillId="0" borderId="1" pivotButton="0" quotePrefix="0" xfId="0"/>
    <xf numFmtId="174" fontId="9" fillId="0" borderId="20" pivotButton="0" quotePrefix="0" xfId="0"/>
    <xf numFmtId="176" fontId="11" fillId="0" borderId="0" pivotButton="0" quotePrefix="0" xfId="0"/>
    <xf numFmtId="174" fontId="20" fillId="0" borderId="0" pivotButton="0" quotePrefix="0" xfId="2"/>
    <xf numFmtId="0" fontId="17" fillId="3" borderId="7" applyAlignment="1" pivotButton="0" quotePrefix="0" xfId="0">
      <alignment horizontal="center"/>
    </xf>
    <xf numFmtId="0" fontId="17" fillId="3" borderId="5" applyAlignment="1" pivotButton="0" quotePrefix="0" xfId="0">
      <alignment horizontal="center"/>
    </xf>
    <xf numFmtId="169" fontId="17" fillId="3" borderId="0" applyAlignment="1" pivotButton="0" quotePrefix="0" xfId="3">
      <alignment horizontal="center"/>
    </xf>
    <xf numFmtId="169" fontId="17" fillId="3" borderId="6" applyAlignment="1" pivotButton="0" quotePrefix="0" xfId="3">
      <alignment horizontal="center"/>
    </xf>
    <xf numFmtId="169" fontId="17" fillId="3" borderId="8" applyAlignment="1" pivotButton="0" quotePrefix="0" xfId="3">
      <alignment horizontal="center"/>
    </xf>
    <xf numFmtId="169" fontId="17" fillId="3" borderId="9" applyAlignment="1" pivotButton="0" quotePrefix="0" xfId="3">
      <alignment horizontal="center"/>
    </xf>
    <xf numFmtId="0" fontId="9" fillId="0" borderId="0" applyAlignment="1" pivotButton="0" quotePrefix="0" xfId="0">
      <alignment horizontal="left" indent="1"/>
    </xf>
    <xf numFmtId="174" fontId="14" fillId="0" borderId="0" pivotButton="0" quotePrefix="0" xfId="0"/>
    <xf numFmtId="174" fontId="32" fillId="0" borderId="0" applyAlignment="1" pivotButton="0" quotePrefix="0" xfId="0">
      <alignment horizontal="right"/>
    </xf>
    <xf numFmtId="174" fontId="14" fillId="0" borderId="0" applyAlignment="1" pivotButton="0" quotePrefix="0" xfId="0">
      <alignment horizontal="right"/>
    </xf>
    <xf numFmtId="174" fontId="33" fillId="0" borderId="0" applyAlignment="1" pivotButton="0" quotePrefix="0" xfId="0">
      <alignment horizontal="right"/>
    </xf>
    <xf numFmtId="0" fontId="14" fillId="0" borderId="0" pivotButton="0" quotePrefix="0" xfId="0"/>
    <xf numFmtId="0" fontId="14" fillId="0" borderId="0" pivotButton="0" quotePrefix="0" xfId="4"/>
    <xf numFmtId="0" fontId="34" fillId="0" borderId="0" pivotButton="0" quotePrefix="0" xfId="0"/>
    <xf numFmtId="0" fontId="25" fillId="0" borderId="0" pivotButton="0" quotePrefix="0" xfId="0"/>
    <xf numFmtId="0" fontId="9" fillId="4" borderId="0" pivotButton="0" quotePrefix="0" xfId="0"/>
    <xf numFmtId="0" fontId="9" fillId="5" borderId="0" pivotButton="0" quotePrefix="0" xfId="0"/>
    <xf numFmtId="0" fontId="17" fillId="0" borderId="9" pivotButton="0" quotePrefix="0" xfId="0"/>
    <xf numFmtId="174" fontId="20" fillId="2" borderId="0" pivotButton="0" quotePrefix="0" xfId="2"/>
    <xf numFmtId="174" fontId="10" fillId="0" borderId="0" pivotButton="0" quotePrefix="0" xfId="2"/>
    <xf numFmtId="42" fontId="10" fillId="0" borderId="0" pivotButton="0" quotePrefix="0" xfId="0"/>
    <xf numFmtId="177" fontId="9" fillId="0" borderId="0" pivotButton="0" quotePrefix="0" xfId="2"/>
    <xf numFmtId="172" fontId="15" fillId="0" borderId="0" pivotButton="0" quotePrefix="0" xfId="0"/>
    <xf numFmtId="172" fontId="15" fillId="2" borderId="0" pivotButton="0" quotePrefix="0" xfId="0"/>
    <xf numFmtId="178" fontId="20" fillId="0" borderId="0" pivotButton="0" quotePrefix="0" xfId="2"/>
    <xf numFmtId="168" fontId="23" fillId="2" borderId="0" pivotButton="0" quotePrefix="0" xfId="0"/>
    <xf numFmtId="174" fontId="23" fillId="2" borderId="0" pivotButton="0" quotePrefix="0" xfId="0"/>
    <xf numFmtId="174" fontId="23" fillId="0" borderId="0" pivotButton="0" quotePrefix="0" xfId="0"/>
    <xf numFmtId="9" fontId="23" fillId="0" borderId="0" pivotButton="0" quotePrefix="0" xfId="0"/>
    <xf numFmtId="9" fontId="20" fillId="0" borderId="0" pivotButton="0" quotePrefix="0" xfId="0"/>
    <xf numFmtId="174" fontId="10" fillId="0" borderId="0" pivotButton="0" quotePrefix="0" xfId="0"/>
    <xf numFmtId="42" fontId="10" fillId="2" borderId="0" pivotButton="0" quotePrefix="0" xfId="0"/>
    <xf numFmtId="177" fontId="9" fillId="2" borderId="0" pivotButton="0" quotePrefix="0" xfId="0"/>
    <xf numFmtId="177" fontId="17" fillId="0" borderId="2" pivotButton="0" quotePrefix="0" xfId="0"/>
    <xf numFmtId="168" fontId="9" fillId="0" borderId="6" pivotButton="0" quotePrefix="0" xfId="2"/>
    <xf numFmtId="174" fontId="9" fillId="0" borderId="6" pivotButton="0" quotePrefix="0" xfId="2"/>
    <xf numFmtId="174" fontId="9" fillId="0" borderId="6" pivotButton="0" quotePrefix="0" xfId="2"/>
    <xf numFmtId="174" fontId="20" fillId="0" borderId="6" applyAlignment="1" pivotButton="0" quotePrefix="0" xfId="2">
      <alignment horizontal="right" vertical="center"/>
    </xf>
    <xf numFmtId="174" fontId="20" fillId="0" borderId="6" applyAlignment="1" pivotButton="0" quotePrefix="0" xfId="2">
      <alignment horizontal="right" vertical="center"/>
    </xf>
    <xf numFmtId="174" fontId="20" fillId="0" borderId="9" applyAlignment="1" pivotButton="0" quotePrefix="0" xfId="2">
      <alignment horizontal="right" vertical="center"/>
    </xf>
    <xf numFmtId="0" fontId="17" fillId="6" borderId="3" applyAlignment="1" pivotButton="0" quotePrefix="0" xfId="0">
      <alignment horizontal="center"/>
    </xf>
    <xf numFmtId="0" fontId="17" fillId="6" borderId="2" applyAlignment="1" pivotButton="0" quotePrefix="0" xfId="0">
      <alignment horizontal="center"/>
    </xf>
    <xf numFmtId="0" fontId="17" fillId="6" borderId="4" applyAlignment="1" pivotButton="0" quotePrefix="0" xfId="0">
      <alignment horizontal="center"/>
    </xf>
    <xf numFmtId="0" fontId="17" fillId="6" borderId="7" applyAlignment="1" pivotButton="0" quotePrefix="0" xfId="0">
      <alignment horizontal="center"/>
    </xf>
    <xf numFmtId="9" fontId="17" fillId="6" borderId="8" applyAlignment="1" pivotButton="0" quotePrefix="0" xfId="0">
      <alignment horizontal="center"/>
    </xf>
    <xf numFmtId="9" fontId="17" fillId="6" borderId="9" applyAlignment="1" pivotButton="0" quotePrefix="0" xfId="0">
      <alignment horizontal="center"/>
    </xf>
    <xf numFmtId="174" fontId="20" fillId="0" borderId="0" applyAlignment="1" pivotButton="0" quotePrefix="0" xfId="2">
      <alignment horizontal="right" vertical="center"/>
    </xf>
    <xf numFmtId="0" fontId="7" fillId="0" borderId="5" pivotButton="0" quotePrefix="0" xfId="0"/>
    <xf numFmtId="0" fontId="6" fillId="0" borderId="0" pivotButton="0" quotePrefix="0" xfId="0"/>
    <xf numFmtId="0" fontId="17" fillId="0" borderId="1" applyAlignment="1" pivotButton="0" quotePrefix="0" xfId="0">
      <alignment horizontal="right"/>
    </xf>
    <xf numFmtId="165" fontId="17" fillId="6" borderId="0" pivotButton="0" quotePrefix="0" xfId="2"/>
    <xf numFmtId="165" fontId="20" fillId="6" borderId="0" pivotButton="0" quotePrefix="0" xfId="2"/>
    <xf numFmtId="165" fontId="9" fillId="6" borderId="0" pivotButton="0" quotePrefix="0" xfId="0"/>
    <xf numFmtId="165" fontId="17" fillId="6" borderId="2" pivotButton="0" quotePrefix="0" xfId="0"/>
    <xf numFmtId="165" fontId="17" fillId="6" borderId="0" pivotButton="0" quotePrefix="0" xfId="0"/>
    <xf numFmtId="165" fontId="9" fillId="6" borderId="0" pivotButton="0" quotePrefix="0" xfId="2"/>
    <xf numFmtId="0" fontId="17" fillId="0" borderId="8" applyAlignment="1" pivotButton="0" quotePrefix="0" xfId="0">
      <alignment horizontal="right"/>
    </xf>
    <xf numFmtId="166" fontId="10" fillId="0" borderId="8" pivotButton="0" quotePrefix="0" xfId="0"/>
    <xf numFmtId="166" fontId="20" fillId="0" borderId="8" pivotButton="0" quotePrefix="0" xfId="0"/>
    <xf numFmtId="0" fontId="9" fillId="0" borderId="10" pivotButton="0" quotePrefix="0" xfId="0"/>
    <xf numFmtId="166" fontId="9" fillId="0" borderId="8" pivotButton="0" quotePrefix="0" xfId="1"/>
    <xf numFmtId="0" fontId="17" fillId="0" borderId="14" applyAlignment="1" pivotButton="0" quotePrefix="0" xfId="0">
      <alignment horizontal="right"/>
    </xf>
    <xf numFmtId="0" fontId="17" fillId="0" borderId="15" applyAlignment="1" pivotButton="0" quotePrefix="0" xfId="0">
      <alignment horizontal="right"/>
    </xf>
    <xf numFmtId="0" fontId="9" fillId="0" borderId="2" pivotButton="0" quotePrefix="0" xfId="0"/>
    <xf numFmtId="43" fontId="23" fillId="0" borderId="0" pivotButton="0" quotePrefix="0" xfId="1"/>
    <xf numFmtId="0" fontId="17" fillId="6" borderId="0" applyAlignment="1" pivotButton="0" quotePrefix="0" xfId="0">
      <alignment horizontal="center"/>
    </xf>
    <xf numFmtId="9" fontId="17" fillId="6" borderId="0" applyAlignment="1" pivotButton="0" quotePrefix="0" xfId="0">
      <alignment horizontal="center"/>
    </xf>
    <xf numFmtId="0" fontId="17" fillId="6" borderId="0" applyAlignment="1" pivotButton="0" quotePrefix="0" xfId="0">
      <alignment horizontal="left"/>
    </xf>
    <xf numFmtId="2" fontId="17" fillId="6" borderId="0" applyAlignment="1" pivotButton="0" quotePrefix="0" xfId="1">
      <alignment horizontal="center"/>
    </xf>
    <xf numFmtId="1" fontId="17" fillId="6" borderId="0" applyAlignment="1" pivotButton="0" quotePrefix="0" xfId="1">
      <alignment horizontal="center"/>
    </xf>
    <xf numFmtId="0" fontId="17" fillId="6" borderId="0" pivotButton="0" quotePrefix="0" xfId="0"/>
    <xf numFmtId="0" fontId="35" fillId="0" borderId="0" pivotButton="0" quotePrefix="0" xfId="0"/>
    <xf numFmtId="166" fontId="35" fillId="0" borderId="0" pivotButton="0" quotePrefix="0" xfId="0"/>
    <xf numFmtId="0" fontId="36" fillId="0" borderId="0" pivotButton="0" quotePrefix="0" xfId="4"/>
    <xf numFmtId="0" fontId="36" fillId="0" borderId="0" pivotButton="0" quotePrefix="0" xfId="0"/>
    <xf numFmtId="168" fontId="37" fillId="0" borderId="0" applyAlignment="1" pivotButton="0" quotePrefix="0" xfId="2">
      <alignment horizontal="right"/>
    </xf>
    <xf numFmtId="166" fontId="37" fillId="0" borderId="0" applyAlignment="1" pivotButton="0" quotePrefix="0" xfId="0">
      <alignment horizontal="right"/>
    </xf>
    <xf numFmtId="0" fontId="38" fillId="0" borderId="0" pivotButton="0" quotePrefix="0" xfId="4"/>
    <xf numFmtId="0" fontId="38" fillId="0" borderId="0" pivotButton="0" quotePrefix="0" xfId="0"/>
    <xf numFmtId="174" fontId="39" fillId="0" borderId="0" applyAlignment="1" pivotButton="0" quotePrefix="0" xfId="2">
      <alignment horizontal="right"/>
    </xf>
    <xf numFmtId="166" fontId="39" fillId="0" borderId="0" applyAlignment="1" pivotButton="0" quotePrefix="0" xfId="0">
      <alignment horizontal="right"/>
    </xf>
    <xf numFmtId="0" fontId="41" fillId="0" borderId="0" pivotButton="0" quotePrefix="0" xfId="4"/>
    <xf numFmtId="0" fontId="41" fillId="0" borderId="0" pivotButton="0" quotePrefix="0" xfId="0"/>
    <xf numFmtId="166" fontId="41" fillId="0" borderId="0" applyAlignment="1" pivotButton="0" quotePrefix="0" xfId="0">
      <alignment horizontal="right"/>
    </xf>
    <xf numFmtId="0" fontId="42" fillId="0" borderId="0" pivotButton="0" quotePrefix="0" xfId="0"/>
    <xf numFmtId="0" fontId="43" fillId="0" borderId="0" pivotButton="0" quotePrefix="0" xfId="0"/>
    <xf numFmtId="174" fontId="43" fillId="0" borderId="0" pivotButton="0" quotePrefix="0" xfId="2"/>
    <xf numFmtId="174" fontId="43" fillId="0" borderId="0" applyAlignment="1" pivotButton="0" quotePrefix="0" xfId="2">
      <alignment horizontal="right"/>
    </xf>
    <xf numFmtId="0" fontId="42" fillId="0" borderId="7" pivotButton="0" quotePrefix="0" xfId="0"/>
    <xf numFmtId="0" fontId="43" fillId="0" borderId="8" pivotButton="0" quotePrefix="0" xfId="0"/>
    <xf numFmtId="42" fontId="43" fillId="0" borderId="8" pivotButton="0" quotePrefix="0" xfId="0"/>
    <xf numFmtId="0" fontId="41" fillId="0" borderId="5" pivotButton="0" quotePrefix="0" xfId="4"/>
    <xf numFmtId="42" fontId="41" fillId="0" borderId="0" pivotButton="0" quotePrefix="0" xfId="0"/>
    <xf numFmtId="169" fontId="41" fillId="0" borderId="6" pivotButton="0" quotePrefix="0" xfId="3"/>
    <xf numFmtId="0" fontId="35" fillId="0" borderId="16" pivotButton="0" quotePrefix="0" xfId="0"/>
    <xf numFmtId="174" fontId="35" fillId="0" borderId="0" pivotButton="0" quotePrefix="0" xfId="0"/>
    <xf numFmtId="174" fontId="35" fillId="0" borderId="18" pivotButton="0" quotePrefix="0" xfId="0"/>
    <xf numFmtId="174" fontId="37" fillId="0" borderId="0" applyAlignment="1" pivotButton="0" quotePrefix="0" xfId="0">
      <alignment horizontal="right"/>
    </xf>
    <xf numFmtId="174" fontId="37" fillId="0" borderId="18" applyAlignment="1" pivotButton="0" quotePrefix="0" xfId="0">
      <alignment horizontal="right"/>
    </xf>
    <xf numFmtId="0" fontId="38" fillId="0" borderId="16" pivotButton="0" quotePrefix="0" xfId="4"/>
    <xf numFmtId="174" fontId="39" fillId="0" borderId="0" applyAlignment="1" pivotButton="0" quotePrefix="0" xfId="0">
      <alignment horizontal="right"/>
    </xf>
    <xf numFmtId="174" fontId="39" fillId="0" borderId="18" applyAlignment="1" pivotButton="0" quotePrefix="0" xfId="0">
      <alignment horizontal="right"/>
    </xf>
    <xf numFmtId="0" fontId="38" fillId="0" borderId="13" pivotButton="0" quotePrefix="0" xfId="4"/>
    <xf numFmtId="169" fontId="38" fillId="0" borderId="21" applyAlignment="1" pivotButton="0" quotePrefix="0" xfId="3">
      <alignment horizontal="right"/>
    </xf>
    <xf numFmtId="169" fontId="38" fillId="0" borderId="22" applyAlignment="1" pivotButton="0" quotePrefix="0" xfId="3">
      <alignment horizontal="right"/>
    </xf>
    <xf numFmtId="0" fontId="41" fillId="0" borderId="16" pivotButton="0" quotePrefix="0" xfId="4"/>
    <xf numFmtId="174" fontId="41" fillId="0" borderId="0" applyAlignment="1" pivotButton="0" quotePrefix="0" xfId="0">
      <alignment horizontal="right"/>
    </xf>
    <xf numFmtId="174" fontId="41" fillId="0" borderId="18" applyAlignment="1" pivotButton="0" quotePrefix="0" xfId="0">
      <alignment horizontal="right"/>
    </xf>
    <xf numFmtId="0" fontId="43" fillId="0" borderId="19" pivotButton="0" quotePrefix="0" xfId="4"/>
    <xf numFmtId="169" fontId="43" fillId="0" borderId="1" applyAlignment="1" pivotButton="0" quotePrefix="0" xfId="3">
      <alignment horizontal="right"/>
    </xf>
    <xf numFmtId="169" fontId="43" fillId="0" borderId="20" applyAlignment="1" pivotButton="0" quotePrefix="0" xfId="3">
      <alignment horizontal="right"/>
    </xf>
    <xf numFmtId="0" fontId="44" fillId="0" borderId="0" applyAlignment="1" pivotButton="0" quotePrefix="0" xfId="0">
      <alignment horizontal="left" indent="1"/>
    </xf>
    <xf numFmtId="0" fontId="45" fillId="0" borderId="0" pivotButton="0" quotePrefix="0" xfId="0"/>
    <xf numFmtId="166" fontId="45" fillId="0" borderId="0" pivotButton="0" quotePrefix="0" xfId="0"/>
    <xf numFmtId="166" fontId="45" fillId="2" borderId="0" pivotButton="0" quotePrefix="0" xfId="0"/>
    <xf numFmtId="0" fontId="46" fillId="0" borderId="0" pivotButton="0" quotePrefix="1" xfId="0"/>
    <xf numFmtId="0" fontId="47" fillId="0" borderId="0" pivotButton="0" quotePrefix="0" xfId="0"/>
    <xf numFmtId="169" fontId="47" fillId="0" borderId="0" pivotButton="0" quotePrefix="0" xfId="3"/>
    <xf numFmtId="169" fontId="47" fillId="2" borderId="0" pivotButton="0" quotePrefix="0" xfId="3"/>
    <xf numFmtId="169" fontId="47" fillId="0" borderId="0" pivotButton="0" quotePrefix="0" xfId="3"/>
    <xf numFmtId="169" fontId="47" fillId="2" borderId="0" pivotButton="0" quotePrefix="0" xfId="3"/>
    <xf numFmtId="169" fontId="47" fillId="0" borderId="0" pivotButton="0" quotePrefix="0" xfId="3"/>
    <xf numFmtId="0" fontId="9" fillId="7" borderId="0" pivotButton="0" quotePrefix="0" xfId="0"/>
    <xf numFmtId="43" fontId="23" fillId="2" borderId="0" pivotButton="0" quotePrefix="0" xfId="1"/>
    <xf numFmtId="166" fontId="10" fillId="2" borderId="8" pivotButton="0" quotePrefix="0" xfId="0"/>
    <xf numFmtId="166" fontId="20" fillId="2" borderId="8" pivotButton="0" quotePrefix="0" xfId="0"/>
    <xf numFmtId="0" fontId="9" fillId="2" borderId="8" pivotButton="0" quotePrefix="0" xfId="0"/>
    <xf numFmtId="0" fontId="9" fillId="2" borderId="10" pivotButton="0" quotePrefix="0" xfId="0"/>
    <xf numFmtId="0" fontId="36" fillId="0" borderId="16" pivotButton="0" quotePrefix="0" xfId="4"/>
    <xf numFmtId="2" fontId="9" fillId="0" borderId="0" applyAlignment="1" pivotButton="0" quotePrefix="0" xfId="0">
      <alignment horizontal="center"/>
    </xf>
    <xf numFmtId="0" fontId="4" fillId="0" borderId="0" pivotButton="0" quotePrefix="0" xfId="0"/>
    <xf numFmtId="0" fontId="16" fillId="0" borderId="0" applyAlignment="1" pivotButton="0" quotePrefix="0" xfId="0">
      <alignment horizontal="center"/>
    </xf>
    <xf numFmtId="0" fontId="16" fillId="0" borderId="0" pivotButton="0" quotePrefix="0" xfId="0"/>
    <xf numFmtId="166" fontId="16" fillId="0" borderId="0" pivotButton="0" quotePrefix="0" xfId="0"/>
    <xf numFmtId="0" fontId="26" fillId="0" borderId="0" pivotButton="0" quotePrefix="0" xfId="0"/>
    <xf numFmtId="169" fontId="26" fillId="0" borderId="0" pivotButton="0" quotePrefix="0" xfId="0"/>
    <xf numFmtId="0" fontId="17" fillId="6" borderId="5" applyAlignment="1" pivotButton="0" quotePrefix="0" xfId="0">
      <alignment horizontal="center"/>
    </xf>
    <xf numFmtId="2" fontId="17" fillId="6" borderId="0" applyAlignment="1" pivotButton="0" quotePrefix="0" xfId="3">
      <alignment horizontal="center"/>
    </xf>
    <xf numFmtId="169" fontId="17" fillId="6" borderId="8" applyAlignment="1" pivotButton="0" quotePrefix="0" xfId="0">
      <alignment horizontal="center"/>
    </xf>
    <xf numFmtId="169" fontId="17" fillId="6" borderId="0" applyAlignment="1" pivotButton="0" quotePrefix="0" xfId="0">
      <alignment horizontal="center"/>
    </xf>
    <xf numFmtId="169" fontId="17" fillId="6" borderId="6" applyAlignment="1" pivotButton="0" quotePrefix="0" xfId="0">
      <alignment horizontal="center"/>
    </xf>
    <xf numFmtId="2" fontId="17" fillId="6" borderId="6" applyAlignment="1" pivotButton="0" quotePrefix="0" xfId="3">
      <alignment horizontal="center"/>
    </xf>
    <xf numFmtId="169" fontId="17" fillId="6" borderId="9" applyAlignment="1" pivotButton="0" quotePrefix="0" xfId="0">
      <alignment horizontal="center"/>
    </xf>
    <xf numFmtId="0" fontId="3" fillId="0" borderId="0" pivotButton="0" quotePrefix="0" xfId="0"/>
    <xf numFmtId="0" fontId="35" fillId="8" borderId="3" pivotButton="0" quotePrefix="0" xfId="0"/>
    <xf numFmtId="0" fontId="35" fillId="8" borderId="2" pivotButton="0" quotePrefix="0" xfId="0"/>
    <xf numFmtId="42" fontId="35" fillId="8" borderId="2" pivotButton="0" quotePrefix="0" xfId="0"/>
    <xf numFmtId="169" fontId="35" fillId="8" borderId="4" pivotButton="0" quotePrefix="0" xfId="3"/>
    <xf numFmtId="0" fontId="36" fillId="9" borderId="5" pivotButton="0" quotePrefix="0" xfId="4"/>
    <xf numFmtId="0" fontId="36" fillId="9" borderId="0" pivotButton="0" quotePrefix="0" xfId="0"/>
    <xf numFmtId="42" fontId="37" fillId="9" borderId="0" pivotButton="0" quotePrefix="0" xfId="0"/>
    <xf numFmtId="169" fontId="36" fillId="9" borderId="6" pivotButton="0" quotePrefix="0" xfId="3"/>
    <xf numFmtId="0" fontId="38" fillId="10" borderId="5" pivotButton="0" quotePrefix="0" xfId="4"/>
    <xf numFmtId="0" fontId="38" fillId="10" borderId="0" pivotButton="0" quotePrefix="0" xfId="0"/>
    <xf numFmtId="42" fontId="40" fillId="10" borderId="0" pivotButton="0" quotePrefix="0" xfId="0"/>
    <xf numFmtId="9" fontId="38" fillId="10" borderId="6" pivotButton="0" quotePrefix="0" xfId="3"/>
    <xf numFmtId="170" fontId="15" fillId="0" borderId="0" pivotButton="0" quotePrefix="0" xfId="0"/>
    <xf numFmtId="170" fontId="15" fillId="2" borderId="0" pivotButton="0" quotePrefix="0" xfId="0"/>
    <xf numFmtId="170" fontId="15" fillId="0" borderId="8" pivotButton="0" quotePrefix="0" xfId="0"/>
    <xf numFmtId="170" fontId="15" fillId="2" borderId="8" pivotButton="0" quotePrefix="0" xfId="0"/>
    <xf numFmtId="170" fontId="15" fillId="0" borderId="8" pivotButton="0" quotePrefix="0" xfId="1"/>
    <xf numFmtId="170" fontId="15" fillId="2" borderId="8" pivotButton="0" quotePrefix="0" xfId="1"/>
    <xf numFmtId="166" fontId="2" fillId="0" borderId="0" pivotButton="0" quotePrefix="0" xfId="0"/>
    <xf numFmtId="166" fontId="2" fillId="2" borderId="0" pivotButton="0" quotePrefix="0" xfId="0"/>
    <xf numFmtId="166" fontId="27" fillId="0" borderId="0" pivotButton="0" quotePrefix="0" xfId="0"/>
    <xf numFmtId="14" fontId="9" fillId="3" borderId="0" pivotButton="0" quotePrefix="0" xfId="0"/>
    <xf numFmtId="14" fontId="5" fillId="3" borderId="0" applyAlignment="1" pivotButton="0" quotePrefix="0" xfId="0">
      <alignment horizontal="right"/>
    </xf>
    <xf numFmtId="0" fontId="10" fillId="0" borderId="1" pivotButton="0" quotePrefix="0" xfId="0"/>
    <xf numFmtId="0" fontId="10" fillId="0" borderId="0" applyAlignment="1" pivotButton="0" quotePrefix="0" xfId="0">
      <alignment horizontal="right"/>
    </xf>
    <xf numFmtId="0" fontId="1" fillId="0" borderId="5" applyAlignment="1" pivotButton="0" quotePrefix="0" xfId="0">
      <alignment horizontal="left"/>
    </xf>
    <xf numFmtId="0" fontId="16" fillId="7" borderId="0" applyAlignment="1" pivotButton="0" quotePrefix="0" xfId="0">
      <alignment horizontal="center"/>
    </xf>
    <xf numFmtId="0" fontId="18" fillId="7" borderId="3" applyAlignment="1" pivotButton="0" quotePrefix="0" xfId="0">
      <alignment horizontal="center"/>
    </xf>
    <xf numFmtId="0" fontId="18" fillId="7" borderId="4" applyAlignment="1" pivotButton="0" quotePrefix="0" xfId="0">
      <alignment horizontal="center"/>
    </xf>
    <xf numFmtId="10" fontId="9" fillId="0" borderId="5" applyAlignment="1" pivotButton="0" quotePrefix="0" xfId="3">
      <alignment horizontal="center"/>
    </xf>
    <xf numFmtId="10" fontId="9" fillId="0" borderId="6" applyAlignment="1" pivotButton="0" quotePrefix="0" xfId="3">
      <alignment horizontal="center"/>
    </xf>
    <xf numFmtId="42" fontId="28" fillId="7" borderId="3" applyAlignment="1" pivotButton="0" quotePrefix="0" xfId="0">
      <alignment horizontal="center"/>
    </xf>
    <xf numFmtId="42" fontId="28" fillId="7" borderId="4" applyAlignment="1" pivotButton="0" quotePrefix="0" xfId="0">
      <alignment horizontal="center"/>
    </xf>
    <xf numFmtId="0" fontId="21" fillId="0" borderId="5" applyAlignment="1" pivotButton="0" quotePrefix="0" xfId="0">
      <alignment horizontal="center"/>
    </xf>
    <xf numFmtId="0" fontId="21" fillId="0" borderId="6" applyAlignment="1" pivotButton="0" quotePrefix="0" xfId="0">
      <alignment horizontal="center"/>
    </xf>
    <xf numFmtId="0" fontId="9" fillId="0" borderId="5" applyAlignment="1" pivotButton="0" quotePrefix="0" xfId="0">
      <alignment horizontal="center"/>
    </xf>
    <xf numFmtId="0" fontId="9" fillId="0" borderId="6" applyAlignment="1" pivotButton="0" quotePrefix="0" xfId="0">
      <alignment horizontal="center"/>
    </xf>
    <xf numFmtId="10" fontId="21" fillId="0" borderId="5" applyAlignment="1" pivotButton="0" quotePrefix="0" xfId="3">
      <alignment horizontal="center"/>
    </xf>
    <xf numFmtId="10" fontId="21" fillId="0" borderId="6" applyAlignment="1" pivotButton="0" quotePrefix="0" xfId="3">
      <alignment horizontal="center"/>
    </xf>
    <xf numFmtId="0" fontId="9" fillId="0" borderId="1" applyAlignment="1" pivotButton="0" quotePrefix="0" xfId="0">
      <alignment horizontal="left"/>
    </xf>
    <xf numFmtId="0" fontId="22" fillId="7" borderId="3" applyAlignment="1" pivotButton="0" quotePrefix="0" xfId="0">
      <alignment horizontal="center"/>
    </xf>
    <xf numFmtId="0" fontId="22" fillId="7" borderId="2" applyAlignment="1" pivotButton="0" quotePrefix="0" xfId="0">
      <alignment horizontal="center"/>
    </xf>
    <xf numFmtId="0" fontId="22" fillId="7" borderId="4" applyAlignment="1" pivotButton="0" quotePrefix="0" xfId="0">
      <alignment horizontal="center"/>
    </xf>
    <xf numFmtId="0" fontId="0" fillId="0" borderId="1" pivotButton="0" quotePrefix="0" xfId="0"/>
    <xf numFmtId="0" fontId="18" fillId="7" borderId="23" applyAlignment="1" pivotButton="0" quotePrefix="0" xfId="0">
      <alignment horizontal="center"/>
    </xf>
    <xf numFmtId="0" fontId="0" fillId="0" borderId="4" pivotButton="0" quotePrefix="0" xfId="0"/>
    <xf numFmtId="172" fontId="15" fillId="0" borderId="0" pivotButton="0" quotePrefix="0" xfId="0"/>
    <xf numFmtId="172" fontId="15" fillId="2" borderId="0" pivotButton="0" quotePrefix="0" xfId="0"/>
    <xf numFmtId="165" fontId="15" fillId="0" borderId="0" pivotButton="0" quotePrefix="0" xfId="0"/>
    <xf numFmtId="165" fontId="17" fillId="0" borderId="2" pivotButton="0" quotePrefix="0" xfId="0"/>
    <xf numFmtId="165" fontId="17" fillId="2" borderId="2" pivotButton="0" quotePrefix="0" xfId="0"/>
    <xf numFmtId="165" fontId="17" fillId="0" borderId="0" pivotButton="0" quotePrefix="0" xfId="2"/>
    <xf numFmtId="165" fontId="17" fillId="2" borderId="0" pivotButton="0" quotePrefix="0" xfId="2"/>
    <xf numFmtId="165" fontId="17" fillId="6" borderId="0" pivotButton="0" quotePrefix="0" xfId="2"/>
    <xf numFmtId="165" fontId="20" fillId="0" borderId="0" pivotButton="0" quotePrefix="0" xfId="2"/>
    <xf numFmtId="165" fontId="20" fillId="2" borderId="0" pivotButton="0" quotePrefix="0" xfId="2"/>
    <xf numFmtId="165" fontId="20" fillId="6" borderId="0" pivotButton="0" quotePrefix="0" xfId="2"/>
    <xf numFmtId="165" fontId="9" fillId="0" borderId="0" pivotButton="0" quotePrefix="0" xfId="0"/>
    <xf numFmtId="165" fontId="9" fillId="2" borderId="0" pivotButton="0" quotePrefix="0" xfId="0"/>
    <xf numFmtId="165" fontId="9" fillId="6" borderId="0" pivotButton="0" quotePrefix="0" xfId="0"/>
    <xf numFmtId="165" fontId="17" fillId="6" borderId="2" pivotButton="0" quotePrefix="0" xfId="0"/>
    <xf numFmtId="165" fontId="17" fillId="6" borderId="0" pivotButton="0" quotePrefix="0" xfId="0"/>
    <xf numFmtId="165" fontId="9" fillId="0" borderId="0" pivotButton="0" quotePrefix="0" xfId="2"/>
    <xf numFmtId="165" fontId="9" fillId="2" borderId="0" pivotButton="0" quotePrefix="0" xfId="2"/>
    <xf numFmtId="165" fontId="9" fillId="6" borderId="0" pivotButton="0" quotePrefix="0" xfId="2"/>
    <xf numFmtId="178" fontId="20" fillId="0" borderId="0" pivotButton="0" quotePrefix="0" xfId="2"/>
    <xf numFmtId="174" fontId="9" fillId="0" borderId="6" pivotButton="0" quotePrefix="0" xfId="2"/>
    <xf numFmtId="168" fontId="9" fillId="0" borderId="0" pivotButton="0" quotePrefix="0" xfId="2"/>
    <xf numFmtId="0" fontId="22" fillId="7" borderId="23" applyAlignment="1" pivotButton="0" quotePrefix="0" xfId="0">
      <alignment horizontal="center"/>
    </xf>
    <xf numFmtId="0" fontId="0" fillId="0" borderId="2" pivotButton="0" quotePrefix="0" xfId="0"/>
    <xf numFmtId="174" fontId="20" fillId="0" borderId="6" applyAlignment="1" pivotButton="0" quotePrefix="0" xfId="2">
      <alignment horizontal="right" vertical="center"/>
    </xf>
    <xf numFmtId="171" fontId="9" fillId="0" borderId="8" pivotButton="0" quotePrefix="0" xfId="0"/>
    <xf numFmtId="172" fontId="9" fillId="0" borderId="9" pivotButton="0" quotePrefix="0" xfId="0"/>
    <xf numFmtId="174" fontId="20" fillId="0" borderId="9" applyAlignment="1" pivotButton="0" quotePrefix="0" xfId="2">
      <alignment horizontal="right" vertical="center"/>
    </xf>
    <xf numFmtId="174" fontId="20" fillId="0" borderId="0" applyAlignment="1" pivotButton="0" quotePrefix="0" xfId="2">
      <alignment horizontal="right" vertical="center"/>
    </xf>
    <xf numFmtId="174" fontId="10" fillId="0" borderId="0" pivotButton="0" quotePrefix="0" xfId="2"/>
    <xf numFmtId="174" fontId="10" fillId="2" borderId="0" pivotButton="0" quotePrefix="0" xfId="2"/>
    <xf numFmtId="174" fontId="20" fillId="0" borderId="0" pivotButton="0" quotePrefix="0" xfId="2"/>
    <xf numFmtId="174" fontId="20" fillId="2" borderId="0" pivotButton="0" quotePrefix="0" xfId="2"/>
    <xf numFmtId="173" fontId="9" fillId="0" borderId="0" pivotButton="0" quotePrefix="0" xfId="0"/>
    <xf numFmtId="173" fontId="9" fillId="2" borderId="0" pivotButton="0" quotePrefix="0" xfId="0"/>
    <xf numFmtId="174" fontId="23" fillId="2" borderId="0" pivotButton="0" quotePrefix="0" xfId="0"/>
    <xf numFmtId="174" fontId="23" fillId="0" borderId="0" pivotButton="0" quotePrefix="0" xfId="0"/>
    <xf numFmtId="168" fontId="23" fillId="2" borderId="0" pivotButton="0" quotePrefix="0" xfId="0"/>
    <xf numFmtId="177" fontId="9" fillId="0" borderId="0" pivotButton="0" quotePrefix="0" xfId="2"/>
    <xf numFmtId="174" fontId="9" fillId="2" borderId="0" pivotButton="0" quotePrefix="0" xfId="2"/>
    <xf numFmtId="174" fontId="9" fillId="0" borderId="0" pivotButton="0" quotePrefix="0" xfId="2"/>
    <xf numFmtId="174" fontId="10" fillId="0" borderId="0" pivotButton="0" quotePrefix="0" xfId="0"/>
    <xf numFmtId="177" fontId="9" fillId="2" borderId="0" pivotButton="0" quotePrefix="0" xfId="0"/>
    <xf numFmtId="177" fontId="17" fillId="0" borderId="2" pivotButton="0" quotePrefix="0" xfId="0"/>
    <xf numFmtId="172" fontId="9" fillId="0" borderId="4" pivotButton="0" quotePrefix="0" xfId="0"/>
    <xf numFmtId="168" fontId="9" fillId="0" borderId="6" pivotButton="0" quotePrefix="0" xfId="2"/>
    <xf numFmtId="175" fontId="9" fillId="0" borderId="6" pivotButton="0" quotePrefix="0" xfId="0"/>
    <xf numFmtId="42" fontId="28" fillId="7" borderId="23" applyAlignment="1" pivotButton="0" quotePrefix="0" xfId="0">
      <alignment horizontal="center"/>
    </xf>
    <xf numFmtId="0" fontId="21" fillId="0" borderId="24" applyAlignment="1" pivotButton="0" quotePrefix="0" xfId="0">
      <alignment horizontal="center"/>
    </xf>
    <xf numFmtId="0" fontId="0" fillId="0" borderId="6" pivotButton="0" quotePrefix="0" xfId="0"/>
    <xf numFmtId="0" fontId="9" fillId="0" borderId="24" applyAlignment="1" pivotButton="0" quotePrefix="0" xfId="0">
      <alignment horizontal="center"/>
    </xf>
    <xf numFmtId="10" fontId="21" fillId="0" borderId="24" applyAlignment="1" pivotButton="0" quotePrefix="0" xfId="3">
      <alignment horizontal="center"/>
    </xf>
    <xf numFmtId="10" fontId="9" fillId="0" borderId="24" applyAlignment="1" pivotButton="0" quotePrefix="0" xfId="3">
      <alignment horizontal="center"/>
    </xf>
    <xf numFmtId="174" fontId="9" fillId="2" borderId="0" pivotButton="0" quotePrefix="0" xfId="0"/>
    <xf numFmtId="174" fontId="9" fillId="0" borderId="0" pivotButton="0" quotePrefix="0" xfId="0"/>
    <xf numFmtId="172" fontId="9" fillId="0" borderId="0" pivotButton="0" quotePrefix="0" xfId="0"/>
    <xf numFmtId="168" fontId="37" fillId="0" borderId="0" applyAlignment="1" pivotButton="0" quotePrefix="0" xfId="2">
      <alignment horizontal="right"/>
    </xf>
    <xf numFmtId="174" fontId="39" fillId="0" borderId="0" applyAlignment="1" pivotButton="0" quotePrefix="0" xfId="2">
      <alignment horizontal="right"/>
    </xf>
    <xf numFmtId="174" fontId="43" fillId="0" borderId="0" pivotButton="0" quotePrefix="0" xfId="2"/>
    <xf numFmtId="174" fontId="43" fillId="0" borderId="0" applyAlignment="1" pivotButton="0" quotePrefix="0" xfId="2">
      <alignment horizontal="right"/>
    </xf>
    <xf numFmtId="172" fontId="9" fillId="0" borderId="0" pivotButton="0" quotePrefix="0" xfId="2"/>
    <xf numFmtId="174" fontId="35" fillId="0" borderId="0" pivotButton="0" quotePrefix="0" xfId="0"/>
    <xf numFmtId="174" fontId="35" fillId="0" borderId="18" pivotButton="0" quotePrefix="0" xfId="0"/>
    <xf numFmtId="174" fontId="37" fillId="0" borderId="0" applyAlignment="1" pivotButton="0" quotePrefix="0" xfId="0">
      <alignment horizontal="right"/>
    </xf>
    <xf numFmtId="174" fontId="37" fillId="0" borderId="18" applyAlignment="1" pivotButton="0" quotePrefix="0" xfId="0">
      <alignment horizontal="right"/>
    </xf>
    <xf numFmtId="174" fontId="41" fillId="0" borderId="0" applyAlignment="1" pivotButton="0" quotePrefix="0" xfId="0">
      <alignment horizontal="right"/>
    </xf>
    <xf numFmtId="174" fontId="41" fillId="0" borderId="18" applyAlignment="1" pivotButton="0" quotePrefix="0" xfId="0">
      <alignment horizontal="right"/>
    </xf>
    <xf numFmtId="174" fontId="39" fillId="0" borderId="0" applyAlignment="1" pivotButton="0" quotePrefix="0" xfId="0">
      <alignment horizontal="right"/>
    </xf>
    <xf numFmtId="174" fontId="39" fillId="0" borderId="18" applyAlignment="1" pivotButton="0" quotePrefix="0" xfId="0">
      <alignment horizontal="right"/>
    </xf>
    <xf numFmtId="174" fontId="9" fillId="0" borderId="1" pivotButton="0" quotePrefix="0" xfId="0"/>
    <xf numFmtId="174" fontId="9" fillId="0" borderId="20" pivotButton="0" quotePrefix="0" xfId="0"/>
    <xf numFmtId="174" fontId="14" fillId="0" borderId="0" pivotButton="0" quotePrefix="0" xfId="0"/>
    <xf numFmtId="174" fontId="32" fillId="0" borderId="0" applyAlignment="1" pivotButton="0" quotePrefix="0" xfId="0">
      <alignment horizontal="right"/>
    </xf>
    <xf numFmtId="174" fontId="14" fillId="0" borderId="0" applyAlignment="1" pivotButton="0" quotePrefix="0" xfId="0">
      <alignment horizontal="right"/>
    </xf>
    <xf numFmtId="174" fontId="33" fillId="0" borderId="0" applyAlignment="1" pivotButton="0" quotePrefix="0" xfId="0">
      <alignment horizontal="right"/>
    </xf>
    <xf numFmtId="176" fontId="11" fillId="0" borderId="0" pivotButton="0" quotePrefix="0" xfId="0"/>
  </cellXfs>
  <cellStyles count="5">
    <cellStyle name="Normal" xfId="0" builtinId="0"/>
    <cellStyle name="Comma" xfId="1" builtinId="3"/>
    <cellStyle name="Currency" xfId="2" builtinId="4"/>
    <cellStyle name="Percent" xfId="3" builtinId="5"/>
    <cellStyle name="Normal 3" xfId="4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strRef>
          <f>Charts!$Q$3</f>
          <strCache>
            <ptCount val="1"/>
            <pt idx="0">
              <v>Company name (Company symbol) - Enterprise Value (EV)</v>
            </pt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3B3838"/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dLbls>
            <numFmt formatCode="&quot;$&quot;#,##0"/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050" b="0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dLblPos val="outEnd"/>
            <showLegendKey val="0"/>
            <showVal val="1"/>
            <showCatName val="0"/>
            <showSerName val="0"/>
            <showPercent val="0"/>
            <showBubbleSize val="0"/>
            <showLeaderLines val="0"/>
          </dLbls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Charts!$C$8:$L$8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40"/>
        <overlap val="100"/>
        <axId val="1523881391"/>
        <axId val="1536576207"/>
      </barChart>
      <catAx>
        <axId val="1523881391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536576207"/>
        <crosses val="autoZero"/>
        <auto val="1"/>
        <lblAlgn val="ctr"/>
        <lblOffset val="100"/>
        <noMultiLvlLbl val="0"/>
      </catAx>
      <valAx>
        <axId val="1536576207"/>
        <scaling>
          <orientation val="minMax"/>
        </scaling>
        <delete val="0"/>
        <axPos val="l"/>
        <numFmt formatCode="&quot;$&quot;#,##0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523881391"/>
        <crosses val="autoZero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10.xml><?xml version="1.0" encoding="utf-8"?>
<chartSpace xmlns="http://schemas.openxmlformats.org/drawingml/2006/chart">
  <chart>
    <title>
      <tx>
        <strRef>
          <f>Charts!$Z$40</f>
          <strCache>
            <ptCount val="1"/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600" b="1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>
        <manualLayout>
          <layoutTarget val="inner"/>
          <xMode val="edge"/>
          <yMode val="edge"/>
          <wMode val="factor"/>
          <hMode val="factor"/>
          <x val="0.08948770596305006"/>
          <y val="0.1684649351418383"/>
          <w val="0.8944356295053993"/>
          <h val="0.7257328431760703"/>
        </manualLayout>
      </layout>
      <lineChart>
        <grouping val="stacked"/>
        <varyColors val="0"/>
        <ser>
          <idx val="0"/>
          <order val="0"/>
          <tx>
            <strRef>
              <f>'Call-out'!$C$2:$L$2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tx>
          <spPr>
            <a:ln xmlns:a="http://schemas.openxmlformats.org/drawingml/2006/main" w="34925" cap="rnd">
              <a:solidFill>
                <a:schemeClr val="accent1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Financials!$D$116:$I$116</f>
              <numCache>
                <formatCode>General</formatCode>
                <ptCount val="6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</numCache>
            </numRef>
          </cat>
          <val>
            <numRef>
              <f>'Call-out'!$C$3:$L$3</f>
              <numCache>
                <formatCode>0.0%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507302063"/>
        <axId val="515989935"/>
      </lineChart>
      <catAx>
        <axId val="507302063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12700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515989935"/>
        <crosses val="autoZero"/>
        <auto val="1"/>
        <lblAlgn val="ctr"/>
        <lblOffset val="100"/>
        <noMultiLvlLbl val="0"/>
      </catAx>
      <valAx>
        <axId val="515989935"/>
        <scaling>
          <orientation val="minMax"/>
        </scaling>
        <delete val="0"/>
        <axPos val="l"/>
        <numFmt formatCode="0%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507302063"/>
        <crosses val="autoZero"/>
        <crossBetween val="between"/>
      </valAx>
    </plotArea>
    <plotVisOnly val="1"/>
    <dispBlanksAs val="zero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11.xml><?xml version="1.0" encoding="utf-8"?>
<chartSpace xmlns="http://schemas.openxmlformats.org/drawingml/2006/chart">
  <chart>
    <title>
      <tx>
        <rich>
          <a:bodyPr xmlns:a="http://schemas.openxmlformats.org/drawingml/2006/main" rot="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 xml:space="preserve">Company name - symbol </a:t>
            </a:r>
          </a:p>
        </rich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lineChart>
        <grouping val="standard"/>
        <varyColors val="0"/>
        <ser>
          <idx val="0"/>
          <order val="0"/>
          <tx>
            <strRef>
              <f>'Call-out'!$B$6</f>
              <strCache>
                <ptCount val="1"/>
                <pt idx="0">
                  <v>ROIC</v>
                </pt>
              </strCache>
            </strRef>
          </tx>
          <spPr>
            <a:ln xmlns:a="http://schemas.openxmlformats.org/drawingml/2006/main" w="28575" cap="rnd">
              <a:solidFill>
                <a:schemeClr val="accent1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'Call-out'!$C$5:$L$5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'Call-out'!$C$6:$L$6</f>
              <numCache>
                <formatCode>0.0%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  <smooth val="0"/>
        </ser>
        <ser>
          <idx val="1"/>
          <order val="1"/>
          <tx>
            <strRef>
              <f>'Call-out'!$B$7</f>
              <strCache>
                <ptCount val="1"/>
                <pt idx="0">
                  <v>Cost of Capital</v>
                </pt>
              </strCache>
            </strRef>
          </tx>
          <spPr>
            <a:ln xmlns:a="http://schemas.openxmlformats.org/drawingml/2006/main" w="28575" cap="rnd">
              <a:solidFill>
                <a:schemeClr val="accent2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'Call-out'!$C$5:$L$5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'Call-out'!$C$7:$L$7</f>
              <numCache>
                <formatCode>0%</formatCode>
                <ptCount val="10"/>
                <pt idx="0">
                  <v>0.1</v>
                </pt>
                <pt idx="1">
                  <v>0.1</v>
                </pt>
                <pt idx="2">
                  <v>0.1</v>
                </pt>
                <pt idx="3">
                  <v>0.1</v>
                </pt>
                <pt idx="4">
                  <v>0.1</v>
                </pt>
                <pt idx="5">
                  <v>0.1</v>
                </pt>
                <pt idx="6">
                  <v>0.1</v>
                </pt>
                <pt idx="7">
                  <v>0.1</v>
                </pt>
                <pt idx="8">
                  <v>0.1</v>
                </pt>
                <pt idx="9">
                  <v>0.1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132244688"/>
        <axId val="1132248848"/>
      </lineChart>
      <catAx>
        <axId val="1132244688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132248848"/>
        <crosses val="autoZero"/>
        <auto val="1"/>
        <lblAlgn val="ctr"/>
        <lblOffset val="100"/>
        <noMultiLvlLbl val="0"/>
      </catAx>
      <valAx>
        <axId val="1132248848"/>
        <scaling>
          <orientation val="minMax"/>
        </scaling>
        <delete val="0"/>
        <axPos val="l"/>
        <numFmt formatCode="0%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132244688"/>
        <crosses val="autoZero"/>
        <crossBetween val="between"/>
      </valAx>
    </plotArea>
    <legend>
      <legendPos val="t"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legend>
    <plotVisOnly val="1"/>
    <dispBlanksAs val="zero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12.xml><?xml version="1.0" encoding="utf-8"?>
<chartSpace xmlns="http://schemas.openxmlformats.org/drawingml/2006/chart">
  <chart>
    <title>
      <tx>
        <rich>
          <a:bodyPr xmlns:a="http://schemas.openxmlformats.org/drawingml/2006/main" rot="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Company name - ROIC</a:t>
            </a:r>
          </a:p>
        </rich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lineChart>
        <grouping val="standard"/>
        <varyColors val="0"/>
        <ser>
          <idx val="0"/>
          <order val="0"/>
          <tx>
            <strRef>
              <f>'Call-out'!$B$10</f>
              <strCache>
                <ptCount val="1"/>
                <pt idx="0">
                  <v>% margin</v>
                </pt>
              </strCache>
            </strRef>
          </tx>
          <spPr>
            <a:ln xmlns:a="http://schemas.openxmlformats.org/drawingml/2006/main" w="28575" cap="rnd">
              <a:solidFill>
                <a:schemeClr val="accent1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'Call-out'!$C$9:$L$9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'Call-out'!$C$10:$L$10</f>
              <numCache>
                <formatCode>0.0%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  <smooth val="0"/>
        </ser>
        <ser>
          <idx val="1"/>
          <order val="1"/>
          <tx>
            <strRef>
              <f>'Call-out'!$B$12</f>
              <strCache>
                <ptCount val="1"/>
                <pt idx="0">
                  <v>ROIC</v>
                </pt>
              </strCache>
            </strRef>
          </tx>
          <spPr>
            <a:ln xmlns:a="http://schemas.openxmlformats.org/drawingml/2006/main" w="28575" cap="rnd">
              <a:solidFill>
                <a:schemeClr val="accent3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'Call-out'!$C$9:$L$9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'Call-out'!$C$12:$L$12</f>
              <numCache>
                <formatCode>0.0%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643521567"/>
        <axId val="739878687"/>
      </lineChart>
      <lineChart>
        <grouping val="standard"/>
        <varyColors val="0"/>
        <ser>
          <idx val="2"/>
          <order val="2"/>
          <tx>
            <strRef>
              <f>'Call-out'!$B$11</f>
              <strCache>
                <ptCount val="1"/>
                <pt idx="0">
                  <v>Scale</v>
                </pt>
              </strCache>
            </strRef>
          </tx>
          <spPr>
            <a:ln xmlns:a="http://schemas.openxmlformats.org/drawingml/2006/main" w="28575" cap="rnd">
              <a:solidFill>
                <a:srgbClr val="F216B1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'Call-out'!$C$9:$L$9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'Call-out'!$C$11:$L$11</f>
              <numCache>
                <formatCode>0.00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473947711"/>
        <axId val="737336479"/>
      </lineChart>
      <catAx>
        <axId val="643521567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739878687"/>
        <crosses val="autoZero"/>
        <auto val="1"/>
        <lblAlgn val="ctr"/>
        <lblOffset val="100"/>
        <noMultiLvlLbl val="0"/>
      </catAx>
      <valAx>
        <axId val="739878687"/>
        <scaling>
          <orientation val="minMax"/>
        </scaling>
        <delete val="0"/>
        <axPos val="l"/>
        <numFmt formatCode="0.0%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643521567"/>
        <crosses val="autoZero"/>
        <crossBetween val="between"/>
      </valAx>
      <catAx>
        <axId val="473947711"/>
        <scaling>
          <orientation val="minMax"/>
        </scaling>
        <delete val="1"/>
        <axPos val="b"/>
        <numFmt formatCode="General" sourceLinked="1"/>
        <majorTickMark val="out"/>
        <minorTickMark val="none"/>
        <tickLblPos val="nextTo"/>
        <crossAx val="737336479"/>
        <crosses val="autoZero"/>
        <auto val="1"/>
        <lblAlgn val="ctr"/>
        <lblOffset val="100"/>
        <noMultiLvlLbl val="0"/>
      </catAx>
      <valAx>
        <axId val="737336479"/>
        <scaling>
          <orientation val="minMax"/>
        </scaling>
        <delete val="0"/>
        <axPos val="r"/>
        <numFmt formatCode="0.00" sourceLinked="1"/>
        <majorTickMark val="out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473947711"/>
        <crosses val="max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="http://schemas.openxmlformats.org/drawingml/2006/chart">
  <chart>
    <title>
      <tx>
        <strRef>
          <f>Charts!$Q$4</f>
          <strCache>
            <ptCount val="1"/>
            <pt idx="0">
              <v>Company name (Company symbol) - Earnings Power Value (EPV)</v>
            </pt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barChart>
        <barDir val="col"/>
        <grouping val="stacked"/>
        <varyColors val="0"/>
        <ser>
          <idx val="0"/>
          <order val="0"/>
          <tx>
            <strRef>
              <f>Charts!$B$6</f>
              <strCache>
                <ptCount val="1"/>
                <pt idx="0">
                  <v>Earnings Power Value</v>
                </pt>
              </strCache>
            </strRef>
          </tx>
          <spPr>
            <a:solidFill xmlns:a="http://schemas.openxmlformats.org/drawingml/2006/main">
              <a:srgbClr val="2F5597"/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dLbls>
            <numFmt formatCode="&quot;$&quot;#,##0"/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050" b="0" i="0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showLegendKey val="0"/>
            <showVal val="1"/>
            <showCatName val="0"/>
            <showSerName val="0"/>
            <showPercent val="0"/>
            <showBubbleSize val="0"/>
            <showLeaderLines val="0"/>
          </dLbls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Charts!$C$6:$L$6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1"/>
          <order val="1"/>
          <tx>
            <strRef>
              <f>Charts!$B$7</f>
              <strCache>
                <ptCount val="1"/>
                <pt idx="0">
                  <v>Market Implied value of NOPAT growth</v>
                </pt>
              </strCache>
            </strRef>
          </tx>
          <spPr>
            <a:solidFill xmlns:a="http://schemas.openxmlformats.org/drawingml/2006/main">
              <a:schemeClr val="bg1">
                <a:lumMod val="85000"/>
              </a:schemeClr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Charts!$C$7:$L$7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40"/>
        <overlap val="100"/>
        <axId val="1631831839"/>
        <axId val="1536586607"/>
      </barChart>
      <catAx>
        <axId val="1631831839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536586607"/>
        <crosses val="autoZero"/>
        <auto val="1"/>
        <lblAlgn val="ctr"/>
        <lblOffset val="100"/>
        <noMultiLvlLbl val="0"/>
      </catAx>
      <valAx>
        <axId val="1536586607"/>
        <scaling>
          <orientation val="minMax"/>
        </scaling>
        <delete val="0"/>
        <axPos val="l"/>
        <numFmt formatCode="&quot;$&quot;#,##0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631831839"/>
        <crosses val="autoZero"/>
        <crossBetween val="between"/>
      </valAx>
    </plotArea>
    <legend>
      <legendPos val="t"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legend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3.xml><?xml version="1.0" encoding="utf-8"?>
<chartSpace xmlns="http://schemas.openxmlformats.org/drawingml/2006/chart">
  <chart>
    <title>
      <tx>
        <strRef>
          <f>Charts!$Q$6</f>
          <strCache>
            <ptCount val="1"/>
            <pt idx="0">
              <v>Company name (Company symbol) - Market-Implied Value of NOPAT Growth</v>
            </pt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barChart>
        <barDir val="col"/>
        <grouping val="stacked"/>
        <varyColors val="0"/>
        <ser>
          <idx val="0"/>
          <order val="0"/>
          <tx>
            <strRef>
              <f>Charts!$B$6</f>
              <strCache>
                <ptCount val="1"/>
                <pt idx="0">
                  <v>Earnings Power Value</v>
                </pt>
              </strCache>
            </strRef>
          </tx>
          <spPr>
            <a:solidFill xmlns:a="http://schemas.openxmlformats.org/drawingml/2006/main">
              <a:schemeClr val="bg1">
                <a:lumMod val="85000"/>
              </a:schemeClr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Charts!$C$6:$L$6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1"/>
          <order val="1"/>
          <tx>
            <strRef>
              <f>Charts!$B$7</f>
              <strCache>
                <ptCount val="1"/>
                <pt idx="0">
                  <v>Market Implied value of NOPAT growth</v>
                </pt>
              </strCache>
            </strRef>
          </tx>
          <spPr>
            <a:solidFill xmlns:a="http://schemas.openxmlformats.org/drawingml/2006/main">
              <a:srgbClr val="55AB55"/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dLbls>
            <numFmt formatCode="&quot;$&quot;#,##0"/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200" b="0" i="0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dLblPos val="ctr"/>
            <showLegendKey val="0"/>
            <showVal val="1"/>
            <showCatName val="0"/>
            <showSerName val="0"/>
            <showPercent val="0"/>
            <showBubbleSize val="0"/>
            <showLeaderLines val="0"/>
          </dLbls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Charts!$C$7:$L$7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40"/>
        <overlap val="100"/>
        <axId val="1631831839"/>
        <axId val="1536586607"/>
      </barChart>
      <catAx>
        <axId val="1631831839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536586607"/>
        <crosses val="autoZero"/>
        <auto val="1"/>
        <lblAlgn val="ctr"/>
        <lblOffset val="100"/>
        <noMultiLvlLbl val="0"/>
      </catAx>
      <valAx>
        <axId val="1536586607"/>
        <scaling>
          <orientation val="minMax"/>
        </scaling>
        <delete val="0"/>
        <axPos val="l"/>
        <numFmt formatCode="&quot;$&quot;#,##0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631831839"/>
        <crosses val="autoZero"/>
        <crossBetween val="between"/>
      </valAx>
    </plotArea>
    <legend>
      <legendPos val="t"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legend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4.xml><?xml version="1.0" encoding="utf-8"?>
<chartSpace xmlns="http://schemas.openxmlformats.org/drawingml/2006/chart">
  <chart>
    <title>
      <tx>
        <strRef>
          <f>Charts!$Q$7</f>
          <strCache>
            <ptCount val="1"/>
            <pt idx="0">
              <v>Company name (Company symbol) - Historical Valuation in US Thousands</v>
            </pt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barChart>
        <barDir val="col"/>
        <grouping val="stacked"/>
        <varyColors val="0"/>
        <ser>
          <idx val="0"/>
          <order val="0"/>
          <tx>
            <strRef>
              <f>Charts!$B$4</f>
              <strCache>
                <ptCount val="1"/>
                <pt idx="0">
                  <v>Invested capital</v>
                </pt>
              </strCache>
            </strRef>
          </tx>
          <spPr>
            <a:solidFill xmlns:a="http://schemas.openxmlformats.org/drawingml/2006/main">
              <a:srgbClr val="FF5656"/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Charts!$C$4:$L$4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1"/>
          <order val="1"/>
          <tx>
            <strRef>
              <f>Charts!$B$5</f>
              <strCache>
                <ptCount val="1"/>
                <pt idx="0">
                  <v>Present value of competitive advantage</v>
                </pt>
              </strCache>
            </strRef>
          </tx>
          <spPr>
            <a:solidFill xmlns:a="http://schemas.openxmlformats.org/drawingml/2006/main">
              <a:srgbClr val="0091FF"/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Charts!$C$5:$L$5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2"/>
          <order val="2"/>
          <tx>
            <strRef>
              <f>Charts!$B$7</f>
              <strCache>
                <ptCount val="1"/>
                <pt idx="0">
                  <v>Market Implied value of NOPAT growth</v>
                </pt>
              </strCache>
            </strRef>
          </tx>
          <spPr>
            <a:solidFill xmlns:a="http://schemas.openxmlformats.org/drawingml/2006/main">
              <a:srgbClr val="55AB55"/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Charts!$C$7:$L$7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40"/>
        <overlap val="100"/>
        <axId val="1733548191"/>
        <axId val="1535107167"/>
      </barChart>
      <catAx>
        <axId val="1733548191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535107167"/>
        <crosses val="autoZero"/>
        <auto val="1"/>
        <lblAlgn val="ctr"/>
        <lblOffset val="100"/>
        <noMultiLvlLbl val="0"/>
      </catAx>
      <valAx>
        <axId val="1535107167"/>
        <scaling>
          <orientation val="minMax"/>
        </scaling>
        <delete val="0"/>
        <axPos val="l"/>
        <numFmt formatCode="&quot;$&quot;#,##0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733548191"/>
        <crosses val="autoZero"/>
        <crossBetween val="between"/>
      </valAx>
    </plotArea>
    <legend>
      <legendPos val="t"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legend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5.xml><?xml version="1.0" encoding="utf-8"?>
<chartSpace xmlns="http://schemas.openxmlformats.org/drawingml/2006/chart">
  <chart>
    <title>
      <tx>
        <strRef>
          <f>Charts!$Q$8</f>
          <strCache>
            <ptCount val="1"/>
            <pt idx="0">
              <v>Company name (Company symbol) - Market-Implied Value of NOPAT Growth</v>
            </pt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barChart>
        <barDir val="col"/>
        <grouping val="stacked"/>
        <varyColors val="0"/>
        <ser>
          <idx val="0"/>
          <order val="0"/>
          <tx>
            <strRef>
              <f>Charts!$B$7</f>
              <strCache>
                <ptCount val="1"/>
                <pt idx="0">
                  <v>Market Implied value of NOPAT growth</v>
                </pt>
              </strCache>
            </strRef>
          </tx>
          <spPr>
            <a:solidFill xmlns:a="http://schemas.openxmlformats.org/drawingml/2006/main">
              <a:srgbClr val="55AB55"/>
            </a:solidFill>
            <a:ln xmlns:a="http://schemas.openxmlformats.org/drawingml/2006/main" w="12700">
              <a:solidFill>
                <a:sysClr val="window" lastClr="FFFFFF"/>
              </a:solidFill>
              <a:prstDash val="solid"/>
            </a:ln>
          </spPr>
          <invertIfNegative val="0"/>
          <dLbls>
            <numFmt formatCode="&quot;$&quot;#,##0"/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900" b="0" i="0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dLblPos val="ctr"/>
            <showLegendKey val="0"/>
            <showVal val="1"/>
            <showCatName val="0"/>
            <showSerName val="0"/>
            <showPercent val="0"/>
            <showBubbleSize val="0"/>
            <showLeaderLines val="0"/>
          </dLbls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Charts!$C$7:$L$7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40"/>
        <overlap val="100"/>
        <axId val="1631831839"/>
        <axId val="1536586607"/>
      </barChart>
      <catAx>
        <axId val="1631831839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536586607"/>
        <crosses val="autoZero"/>
        <auto val="1"/>
        <lblAlgn val="ctr"/>
        <lblOffset val="100"/>
        <noMultiLvlLbl val="0"/>
      </catAx>
      <valAx>
        <axId val="1536586607"/>
        <scaling>
          <orientation val="minMax"/>
        </scaling>
        <delete val="0"/>
        <axPos val="l"/>
        <numFmt formatCode="&quot;$&quot;#,##0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631831839"/>
        <crosses val="autoZero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6.xml><?xml version="1.0" encoding="utf-8"?>
<chartSpace xmlns="http://schemas.openxmlformats.org/drawingml/2006/chart">
  <chart>
    <title>
      <tx>
        <strRef>
          <f>Charts!$Q$5</f>
          <strCache>
            <ptCount val="1"/>
            <pt idx="0">
              <v>Company name (Company symbol) - Earnings Power Value (EPV) (Percentage of EV)</v>
            </pt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barChart>
        <barDir val="col"/>
        <grouping val="stacked"/>
        <varyColors val="0"/>
        <ser>
          <idx val="0"/>
          <order val="0"/>
          <tx>
            <strRef>
              <f>Charts!$B$11</f>
              <strCache>
                <ptCount val="1"/>
                <pt idx="0">
                  <v>Earnings Power Value</v>
                </pt>
              </strCache>
            </strRef>
          </tx>
          <spPr>
            <a:solidFill xmlns:a="http://schemas.openxmlformats.org/drawingml/2006/main">
              <a:srgbClr val="2F5597"/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numFmt formatCode="0.0%"/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200" b="0" i="0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dLblPos val="ctr"/>
            <showLegendKey val="0"/>
            <showVal val="1"/>
            <showCatName val="0"/>
            <showSerName val="0"/>
            <showPercent val="0"/>
            <showBubbleSize val="0"/>
            <showLeaderLines val="0"/>
          </dLbls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Charts!$C$11:$L$11</f>
              <numCache>
                <formatCode>0.0%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40"/>
        <overlap val="100"/>
        <axId val="1631831839"/>
        <axId val="1536586607"/>
      </barChart>
      <catAx>
        <axId val="1631831839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536586607"/>
        <crosses val="autoZero"/>
        <auto val="1"/>
        <lblAlgn val="ctr"/>
        <lblOffset val="100"/>
        <noMultiLvlLbl val="0"/>
      </catAx>
      <valAx>
        <axId val="1536586607"/>
        <scaling>
          <orientation val="minMax"/>
          <max val="1"/>
        </scaling>
        <delete val="0"/>
        <axPos val="l"/>
        <numFmt formatCode="0%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631831839"/>
        <crosses val="autoZero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7.xml><?xml version="1.0" encoding="utf-8"?>
<chartSpace xmlns="http://schemas.openxmlformats.org/drawingml/2006/chart">
  <chart>
    <title>
      <tx>
        <strRef>
          <f>Charts!$Q$9</f>
          <strCache>
            <ptCount val="1"/>
            <pt idx="0">
              <v>Company name (Company symbol) - Market-Implied Value of NOPAT Growth (Percentage of EV)</v>
            </pt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barChart>
        <barDir val="col"/>
        <grouping val="clustered"/>
        <varyColors val="0"/>
        <ser>
          <idx val="0"/>
          <order val="0"/>
          <tx>
            <strRef>
              <f>Charts!$B$10</f>
              <strCache>
                <ptCount val="1"/>
                <pt idx="0">
                  <v>Market Implied value of NOPAT growth</v>
                </pt>
              </strCache>
            </strRef>
          </tx>
          <spPr>
            <a:solidFill xmlns:a="http://schemas.openxmlformats.org/drawingml/2006/main">
              <a:srgbClr val="55AB55"/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numFmt formatCode="0.0%"/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400" b="0" i="0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dLblPos val="ctr"/>
            <showLegendKey val="0"/>
            <showVal val="1"/>
            <showCatName val="0"/>
            <showSerName val="0"/>
            <showPercent val="0"/>
            <showBubbleSize val="0"/>
            <showLeaderLines val="0"/>
          </dLbls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Charts!$C$10:$L$10</f>
              <numCache>
                <formatCode>0.0%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40"/>
        <overlap val="-27"/>
        <axId val="1039437144"/>
        <axId val="1039440424"/>
      </barChart>
      <catAx>
        <axId val="1039437144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039440424"/>
        <crosses val="autoZero"/>
        <auto val="1"/>
        <lblAlgn val="ctr"/>
        <lblOffset val="100"/>
        <noMultiLvlLbl val="0"/>
      </catAx>
      <valAx>
        <axId val="1039440424"/>
        <scaling>
          <orientation val="minMax"/>
          <max val="1"/>
        </scaling>
        <delete val="0"/>
        <axPos val="l"/>
        <numFmt formatCode="0%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039437144"/>
        <crosses val="autoZero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/>
            </a:r>
          </a:p>
        </rich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lineChart>
        <grouping val="standard"/>
        <varyColors val="0"/>
        <ser>
          <idx val="0"/>
          <order val="0"/>
          <tx>
            <strRef>
              <f>Charts!$B$14</f>
              <strCache>
                <ptCount val="1"/>
                <pt idx="0">
                  <v>Revenue</v>
                </pt>
              </strCache>
            </strRef>
          </tx>
          <spPr>
            <a:ln xmlns:a="http://schemas.openxmlformats.org/drawingml/2006/main" w="28575" cap="rnd">
              <a:solidFill>
                <a:schemeClr val="accent1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dLbl>
              <idx val="0"/>
              <dLblPos val="t"/>
              <showLegendKey val="0"/>
              <showVal val="1"/>
              <showCatName val="0"/>
              <showSerName val="0"/>
              <showPercent val="0"/>
              <showBubbleSize val="0"/>
            </dLbl>
            <dLbl>
              <idx val="9"/>
              <dLblPos val="t"/>
              <showLegendKey val="0"/>
              <showVal val="1"/>
              <showCatName val="0"/>
              <showSerName val="0"/>
              <showPercent val="0"/>
              <showBubbleSize val="0"/>
            </dLbl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400" b="0" i="0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showLegendKey val="0"/>
            <showVal val="0"/>
            <showCatName val="0"/>
            <showSerName val="0"/>
            <showPercent val="0"/>
            <showBubbleSize val="0"/>
          </dLbls>
          <cat>
            <strRef>
              <f>Charts!$C$13:$L$13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Charts!$C$14:$L$14</f>
              <numCache>
                <formatCode>_("$"* #,##0_);_("$"* \(#,##0\);_("$"*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739229504"/>
        <axId val="793845632"/>
      </lineChart>
      <catAx>
        <axId val="739229504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793845632"/>
        <crosses val="autoZero"/>
        <auto val="1"/>
        <lblAlgn val="ctr"/>
        <lblOffset val="100"/>
        <noMultiLvlLbl val="0"/>
      </catAx>
      <valAx>
        <axId val="793845632"/>
        <scaling>
          <orientation val="minMax"/>
        </scaling>
        <delete val="0"/>
        <axPos val="l"/>
        <numFmt formatCode="_(&quot;$&quot;* #,##0_);_(&quot;$&quot;* \(#,##0\);_(&quot;$&quot;* &quot;-&quot;??_);_(@_)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739229504"/>
        <crosses val="autoZero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9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/>
            </a:r>
          </a:p>
        </rich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lineChart>
        <grouping val="standard"/>
        <varyColors val="0"/>
        <ser>
          <idx val="1"/>
          <order val="0"/>
          <tx>
            <strRef>
              <f>Charts!$B$15</f>
              <strCache>
                <ptCount val="1"/>
                <pt idx="0">
                  <v>Operating Margin</v>
                </pt>
              </strCache>
            </strRef>
          </tx>
          <spPr>
            <a:ln xmlns:a="http://schemas.openxmlformats.org/drawingml/2006/main" w="28575" cap="rnd">
              <a:solidFill>
                <a:schemeClr val="accent2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dLbl>
              <idx val="0"/>
              <dLblPos val="t"/>
              <showLegendKey val="0"/>
              <showVal val="1"/>
              <showCatName val="0"/>
              <showSerName val="0"/>
              <showPercent val="0"/>
              <showBubbleSize val="0"/>
            </dLbl>
            <dLbl>
              <idx val="8"/>
              <dLblPos val="t"/>
              <showLegendKey val="0"/>
              <showVal val="1"/>
              <showCatName val="0"/>
              <showSerName val="0"/>
              <showPercent val="0"/>
              <showBubbleSize val="0"/>
            </dLbl>
            <dLbl>
              <idx val="9"/>
              <dLblPos val="t"/>
              <showLegendKey val="0"/>
              <showVal val="1"/>
              <showCatName val="0"/>
              <showSerName val="0"/>
              <showPercent val="0"/>
              <showBubbleSize val="0"/>
            </dLbl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200" b="0" i="0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showLegendKey val="0"/>
            <showVal val="0"/>
            <showCatName val="0"/>
            <showSerName val="0"/>
            <showPercent val="0"/>
            <showBubbleSize val="0"/>
          </dLbls>
          <cat>
            <strRef>
              <f>Charts!$C$13:$L$13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Charts!$C$15:$L$15</f>
              <numCache>
                <formatCode>0.0%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969387056"/>
        <axId val="715615792"/>
      </lineChart>
      <catAx>
        <axId val="969387056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715615792"/>
        <crosses val="autoZero"/>
        <auto val="1"/>
        <lblAlgn val="ctr"/>
        <lblOffset val="100"/>
        <noMultiLvlLbl val="0"/>
      </catAx>
      <valAx>
        <axId val="715615792"/>
        <scaling>
          <orientation val="minMax"/>
        </scaling>
        <delete val="0"/>
        <axPos val="l"/>
        <numFmt formatCode="0.0%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969387056"/>
        <crosses val="autoZero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omments/comment1.xml><?xml version="1.0" encoding="utf-8"?>
<comments xmlns="http://schemas.openxmlformats.org/spreadsheetml/2006/main">
  <authors>
    <author>Alec Lucas</author>
    <author>Paul Johnson</author>
  </authors>
  <commentList>
    <comment ref="D7" authorId="0" shapeId="0">
      <text>
        <t>Alec Lucas:
Input.</t>
      </text>
    </comment>
    <comment ref="B8" authorId="0" shapeId="0">
      <text>
        <t xml:space="preserve">Alec Lucas:
Connected to Chart titles.
</t>
      </text>
    </comment>
    <comment ref="O21" authorId="1" shapeId="0">
      <text>
        <t>Paul Johnson:
As of most recent 10Q/10K</t>
      </text>
    </comment>
    <comment ref="B32" authorId="0" shapeId="0">
      <text>
        <t>Alec Lucas:
COGS should be negative</t>
      </text>
    </comment>
    <comment ref="B41" authorId="1" shapeId="0">
      <text>
        <t>Paul Johnson:
Fees are negative (reversed sign to comply with formula) for EBIT</t>
      </text>
    </comment>
    <comment ref="B106" authorId="0" shapeId="0">
      <text>
        <t>Alec Lucas:
CapEx should be positive</t>
      </text>
    </comment>
    <comment ref="B111" authorId="0" shapeId="0">
      <text>
        <t>Alec Lucas:
Accumulated Depreciation should be positive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Relationship Type="http://schemas.openxmlformats.org/officeDocument/2006/relationships/chart" Target="/xl/charts/chart6.xml" Id="rId6"/><Relationship Type="http://schemas.openxmlformats.org/officeDocument/2006/relationships/chart" Target="/xl/charts/chart7.xml" Id="rId7"/><Relationship Type="http://schemas.openxmlformats.org/officeDocument/2006/relationships/chart" Target="/xl/charts/chart8.xml" Id="rId8"/><Relationship Type="http://schemas.openxmlformats.org/officeDocument/2006/relationships/chart" Target="/xl/charts/chart9.xml" Id="rId9"/></Relationships>
</file>

<file path=xl/drawings/_rels/drawing2.xml.rels><Relationships xmlns="http://schemas.openxmlformats.org/package/2006/relationships"><Relationship Type="http://schemas.openxmlformats.org/officeDocument/2006/relationships/chart" Target="/xl/charts/chart10.xml" Id="rId1"/><Relationship Type="http://schemas.openxmlformats.org/officeDocument/2006/relationships/chart" Target="/xl/charts/chart11.xml" Id="rId2"/><Relationship Type="http://schemas.openxmlformats.org/officeDocument/2006/relationships/chart" Target="/xl/charts/chart12.xml" Id="rId3"/></Relationships>
</file>

<file path=xl/drawings/drawing1.xml><?xml version="1.0" encoding="utf-8"?>
<wsDr xmlns="http://schemas.openxmlformats.org/drawingml/2006/spreadsheetDrawing">
  <twoCellAnchor>
    <from>
      <col>1</col>
      <colOff>55522</colOff>
      <row>18</row>
      <rowOff>108501</rowOff>
    </from>
    <to>
      <col>6</col>
      <colOff>260511</colOff>
      <row>40</row>
      <rowOff>37668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12</col>
      <colOff>114837</colOff>
      <row>18</row>
      <rowOff>131648</rowOff>
    </from>
    <to>
      <col>24</col>
      <colOff>185671</colOff>
      <row>40</row>
      <rowOff>60815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>
    <from>
      <col>1</col>
      <colOff>11758</colOff>
      <row>42</row>
      <rowOff>86291</rowOff>
    </from>
    <to>
      <col>6</col>
      <colOff>216747</colOff>
      <row>64</row>
      <rowOff>69119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  <twoCellAnchor>
    <from>
      <col>12</col>
      <colOff>120532</colOff>
      <row>42</row>
      <rowOff>109199</rowOff>
    </from>
    <to>
      <col>24</col>
      <colOff>191366</colOff>
      <row>64</row>
      <rowOff>92027</rowOff>
    </to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twoCellAnchor>
  <twoCellAnchor>
    <from>
      <col>0</col>
      <colOff>540573</colOff>
      <row>66</row>
      <rowOff>105255</rowOff>
    </from>
    <to>
      <col>6</col>
      <colOff>140523</colOff>
      <row>88</row>
      <rowOff>88083</rowOff>
    </to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twoCellAnchor>
  <twoCellAnchor>
    <from>
      <col>24</col>
      <colOff>346384</colOff>
      <row>18</row>
      <rowOff>105844</rowOff>
    </from>
    <to>
      <col>29</col>
      <colOff>283063</colOff>
      <row>40</row>
      <rowOff>35011</rowOff>
    </to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twoCellAnchor>
  <twoCellAnchor>
    <from>
      <col>12</col>
      <colOff>130993</colOff>
      <row>66</row>
      <rowOff>113213</rowOff>
    </from>
    <to>
      <col>24</col>
      <colOff>201827</colOff>
      <row>88</row>
      <rowOff>96041</rowOff>
    </to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twoCellAnchor>
  <twoCellAnchor>
    <from>
      <col>12</col>
      <colOff>95250</colOff>
      <row>90</row>
      <rowOff>157766</rowOff>
    </from>
    <to>
      <col>24</col>
      <colOff>166084</colOff>
      <row>112</row>
      <rowOff>140594</rowOff>
    </to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twoCellAnchor>
  <twoCellAnchor>
    <from>
      <col>0</col>
      <colOff>242820</colOff>
      <row>89</row>
      <rowOff>144351</rowOff>
    </from>
    <to>
      <col>5</col>
      <colOff>863689</colOff>
      <row>111</row>
      <rowOff>127179</rowOff>
    </to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twoCellAnchor>
</wsDr>
</file>

<file path=xl/drawings/drawing2.xml><?xml version="1.0" encoding="utf-8"?>
<wsDr xmlns="http://schemas.openxmlformats.org/drawingml/2006/spreadsheetDrawing">
  <twoCellAnchor>
    <from>
      <col>1</col>
      <colOff>0</colOff>
      <row>22</row>
      <rowOff>0</rowOff>
    </from>
    <to>
      <col>9</col>
      <colOff>538654</colOff>
      <row>37</row>
      <rowOff>161446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11</col>
      <colOff>247650</colOff>
      <row>22</row>
      <rowOff>3810</rowOff>
    </from>
    <to>
      <col>23</col>
      <colOff>336988</colOff>
      <row>44</row>
      <rowOff>23954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>
    <from>
      <col>24</col>
      <colOff>51457</colOff>
      <row>21</row>
      <rowOff>139263</rowOff>
    </from>
    <to>
      <col>36</col>
      <colOff>140795</colOff>
      <row>43</row>
      <rowOff>159407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</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P154"/>
  <sheetViews>
    <sheetView showGridLines="0" tabSelected="1" topLeftCell="A25" zoomScale="74" zoomScaleNormal="74" workbookViewId="0">
      <selection activeCell="M42" sqref="M42"/>
    </sheetView>
  </sheetViews>
  <sheetFormatPr baseColWidth="10" defaultColWidth="9" defaultRowHeight="15" outlineLevelRow="2"/>
  <cols>
    <col width="9" customWidth="1" style="2" min="1" max="1"/>
    <col width="41.19921875" bestFit="1" customWidth="1" style="2" min="2" max="2"/>
    <col width="10.59765625" bestFit="1" customWidth="1" style="2" min="3" max="3"/>
    <col width="18.796875" bestFit="1" customWidth="1" style="2" min="4" max="4"/>
    <col width="17" bestFit="1" customWidth="1" style="2" min="5" max="7"/>
    <col width="13.796875" bestFit="1" customWidth="1" style="2" min="8" max="8"/>
    <col width="14.796875" bestFit="1" customWidth="1" style="2" min="9" max="9"/>
    <col width="14.796875" customWidth="1" style="2" min="10" max="14"/>
    <col width="15.796875" bestFit="1" customWidth="1" style="2" min="15" max="15"/>
    <col width="17" customWidth="1" style="2" min="16" max="16"/>
    <col width="9" customWidth="1" style="2" min="17" max="16384"/>
  </cols>
  <sheetData>
    <row r="2">
      <c r="B2" s="1" t="inlineStr">
        <is>
          <t>BKV CORPORATION</t>
        </is>
      </c>
    </row>
    <row r="3" ht="16" customHeight="1" thickBot="1">
      <c r="B3" s="326" t="inlineStr">
        <is>
          <t>All amounts in Millions except per share data (inputs in blue)</t>
        </is>
      </c>
      <c r="C3" s="330" t="n"/>
      <c r="D3" s="330" t="n"/>
      <c r="E3" s="326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</row>
    <row r="5">
      <c r="B5" s="313">
        <f> $B$2&amp; " Valuation Summary"</f>
        <v/>
      </c>
      <c r="N5" s="274" t="n"/>
      <c r="O5" s="275" t="n"/>
      <c r="P5" s="275" t="n"/>
    </row>
    <row r="6">
      <c r="B6" s="5" t="n"/>
      <c r="C6" s="5" t="n"/>
      <c r="D6" s="5" t="n"/>
      <c r="E6" s="5" t="n"/>
    </row>
    <row r="7" ht="16" customHeight="1" thickBot="1">
      <c r="B7" s="6" t="inlineStr">
        <is>
          <t>Fiscal Year</t>
        </is>
      </c>
      <c r="C7" s="5" t="n"/>
      <c r="D7" s="192" t="n">
        <v>2016</v>
      </c>
      <c r="E7" s="192">
        <f>D7+1</f>
        <v/>
      </c>
      <c r="F7" s="192">
        <f>E7+1</f>
        <v/>
      </c>
      <c r="G7" s="192">
        <f>F7+1</f>
        <v/>
      </c>
      <c r="H7" s="192">
        <f>G7+1</f>
        <v/>
      </c>
      <c r="I7" s="192">
        <f>H7+1</f>
        <v/>
      </c>
      <c r="J7" s="192">
        <f>I7+1</f>
        <v/>
      </c>
      <c r="K7" s="192">
        <f>J7+1</f>
        <v/>
      </c>
      <c r="L7" s="192">
        <f>K7+1</f>
        <v/>
      </c>
      <c r="M7" s="192" t="inlineStr">
        <is>
          <t>LQA</t>
        </is>
      </c>
      <c r="N7" s="98" t="n"/>
      <c r="O7" s="331">
        <f>M7&amp; " Multiples:"</f>
        <v/>
      </c>
      <c r="P7" s="332" t="n"/>
    </row>
    <row r="8">
      <c r="B8" s="157" t="inlineStr">
        <is>
          <t>BKV</t>
        </is>
      </c>
      <c r="C8" s="7" t="n"/>
      <c r="E8" s="8" t="n"/>
      <c r="G8" s="8" t="n"/>
      <c r="I8" s="8" t="n"/>
      <c r="K8" s="8" t="n"/>
      <c r="M8" s="8" t="n"/>
      <c r="O8" s="9" t="inlineStr">
        <is>
          <t>EV/Rev</t>
        </is>
      </c>
      <c r="P8" s="10">
        <f>$M$15/$M$31</f>
        <v/>
      </c>
    </row>
    <row r="9">
      <c r="B9" s="157" t="inlineStr">
        <is>
          <t>Share price date</t>
        </is>
      </c>
      <c r="C9" s="7" t="n"/>
      <c r="D9" s="308" t="inlineStr">
        <is>
          <t>12/31/2016</t>
        </is>
      </c>
      <c r="E9" s="309" t="inlineStr">
        <is>
          <t>12/31/2017</t>
        </is>
      </c>
      <c r="F9" s="308" t="inlineStr">
        <is>
          <t>12/31/2018</t>
        </is>
      </c>
      <c r="G9" s="308" t="inlineStr">
        <is>
          <t>12/31/2019</t>
        </is>
      </c>
      <c r="H9" s="308" t="inlineStr">
        <is>
          <t>12/31/2020</t>
        </is>
      </c>
      <c r="I9" s="308" t="inlineStr">
        <is>
          <t>12/31/2021</t>
        </is>
      </c>
      <c r="J9" s="308" t="inlineStr">
        <is>
          <t>12/31/2022</t>
        </is>
      </c>
      <c r="K9" s="308" t="inlineStr">
        <is>
          <t>12/31/2023</t>
        </is>
      </c>
      <c r="L9" s="308" t="inlineStr">
        <is>
          <t>03/31/2025</t>
        </is>
      </c>
      <c r="M9" s="308" t="inlineStr">
        <is>
          <t>11/17/2025</t>
        </is>
      </c>
      <c r="O9" s="9" t="n"/>
      <c r="P9" s="10" t="n"/>
    </row>
    <row r="10">
      <c r="B10" s="11" t="inlineStr">
        <is>
          <t>Share Price:</t>
        </is>
      </c>
      <c r="C10" s="12" t="n"/>
      <c r="D10" s="333" t="n"/>
      <c r="E10" s="334" t="n"/>
      <c r="F10" s="333" t="n"/>
      <c r="G10" s="334" t="n"/>
      <c r="H10" s="333" t="n"/>
      <c r="I10" s="334" t="n"/>
      <c r="J10" s="333" t="n"/>
      <c r="K10" s="334" t="n"/>
      <c r="L10" s="333" t="n">
        <v>20.92000007629395</v>
      </c>
      <c r="M10" s="334" t="n">
        <v>28.02</v>
      </c>
      <c r="N10" s="335" t="n"/>
      <c r="O10" s="9" t="inlineStr">
        <is>
          <t>EV/EBITDA</t>
        </is>
      </c>
      <c r="P10" s="10">
        <f>$M$15/$M$80</f>
        <v/>
      </c>
    </row>
    <row r="11">
      <c r="B11" s="2" t="inlineStr">
        <is>
          <t xml:space="preserve">Shares Outstanding </t>
        </is>
      </c>
      <c r="D11" s="299" t="n"/>
      <c r="E11" s="300" t="n"/>
      <c r="F11" s="299" t="n"/>
      <c r="G11" s="300" t="n"/>
      <c r="H11" s="301" t="n"/>
      <c r="I11" s="302" t="n"/>
      <c r="J11" s="303" t="n">
        <v>58.659</v>
      </c>
      <c r="K11" s="304" t="n">
        <v>66.27586599999999</v>
      </c>
      <c r="L11" s="303" t="n">
        <v>84.600301</v>
      </c>
      <c r="M11" s="304" t="n">
        <v>89.97007600000001</v>
      </c>
      <c r="N11" s="335" t="n"/>
      <c r="O11" s="9" t="inlineStr">
        <is>
          <t>EV/EBIT</t>
        </is>
      </c>
      <c r="P11" s="10">
        <f>$M$15/$M$38</f>
        <v/>
      </c>
    </row>
    <row r="12">
      <c r="B12" s="12" t="inlineStr">
        <is>
          <t>Market Cap</t>
        </is>
      </c>
      <c r="C12" s="12" t="n"/>
      <c r="D12" s="336">
        <f>+D10*D11</f>
        <v/>
      </c>
      <c r="E12" s="337">
        <f>+E10*E11</f>
        <v/>
      </c>
      <c r="F12" s="336">
        <f>+F10*F11</f>
        <v/>
      </c>
      <c r="G12" s="337">
        <f>+G10*G11</f>
        <v/>
      </c>
      <c r="H12" s="338">
        <f>+H11*H10</f>
        <v/>
      </c>
      <c r="I12" s="339">
        <f>+I11*I10</f>
        <v/>
      </c>
      <c r="J12" s="340">
        <f>+J11*J10</f>
        <v/>
      </c>
      <c r="K12" s="339">
        <f>+K11*K10</f>
        <v/>
      </c>
      <c r="L12" s="338">
        <f>+L11*L10</f>
        <v/>
      </c>
      <c r="M12" s="339">
        <f>+M11*M10</f>
        <v/>
      </c>
      <c r="N12" s="340" t="n"/>
      <c r="O12" s="9" t="inlineStr">
        <is>
          <t>P/E</t>
        </is>
      </c>
      <c r="P12" s="10">
        <f>$M$12/$M$48</f>
        <v/>
      </c>
    </row>
    <row r="13">
      <c r="B13" s="191" t="inlineStr">
        <is>
          <t>Less: Cash</t>
        </is>
      </c>
      <c r="D13" s="341">
        <f>D53</f>
        <v/>
      </c>
      <c r="E13" s="342">
        <f>E53</f>
        <v/>
      </c>
      <c r="F13" s="341">
        <f>F53</f>
        <v/>
      </c>
      <c r="G13" s="342">
        <f>G53</f>
        <v/>
      </c>
      <c r="H13" s="341">
        <f>H53</f>
        <v/>
      </c>
      <c r="I13" s="342">
        <f>I53</f>
        <v/>
      </c>
      <c r="J13" s="343">
        <f>J53</f>
        <v/>
      </c>
      <c r="K13" s="342">
        <f>K53</f>
        <v/>
      </c>
      <c r="L13" s="341">
        <f>L53</f>
        <v/>
      </c>
      <c r="M13" s="342">
        <f>M53</f>
        <v/>
      </c>
      <c r="N13" s="343" t="n"/>
      <c r="O13" s="9" t="inlineStr">
        <is>
          <t>P/B</t>
        </is>
      </c>
      <c r="P13" s="10">
        <f>$M$12/$P$24</f>
        <v/>
      </c>
    </row>
    <row r="14">
      <c r="B14" s="191" t="inlineStr">
        <is>
          <t>Plus: Debt</t>
        </is>
      </c>
      <c r="D14" s="344">
        <f>D64</f>
        <v/>
      </c>
      <c r="E14" s="345">
        <f>E64</f>
        <v/>
      </c>
      <c r="F14" s="344">
        <f>F64</f>
        <v/>
      </c>
      <c r="G14" s="345">
        <f>G64</f>
        <v/>
      </c>
      <c r="H14" s="344">
        <f>H64</f>
        <v/>
      </c>
      <c r="I14" s="345">
        <f>I64</f>
        <v/>
      </c>
      <c r="J14" s="346">
        <f>J64</f>
        <v/>
      </c>
      <c r="K14" s="345">
        <f>K64</f>
        <v/>
      </c>
      <c r="L14" s="344">
        <f>L64</f>
        <v/>
      </c>
      <c r="M14" s="345">
        <f>M64</f>
        <v/>
      </c>
      <c r="N14" s="346" t="n"/>
      <c r="O14" s="9" t="inlineStr">
        <is>
          <t>P/TBV</t>
        </is>
      </c>
      <c r="P14" s="10">
        <f>$M$12/$P$25</f>
        <v/>
      </c>
    </row>
    <row r="15">
      <c r="B15" s="12" t="inlineStr">
        <is>
          <t>Enterprise Value</t>
        </is>
      </c>
      <c r="C15" s="12" t="n"/>
      <c r="D15" s="336">
        <f>D12-D13+D14</f>
        <v/>
      </c>
      <c r="E15" s="337">
        <f>E12-E13+E14</f>
        <v/>
      </c>
      <c r="F15" s="336">
        <f>F12-F13+F14</f>
        <v/>
      </c>
      <c r="G15" s="337">
        <f>G12-G13+G14</f>
        <v/>
      </c>
      <c r="H15" s="336">
        <f>H12-H13+H14</f>
        <v/>
      </c>
      <c r="I15" s="337">
        <f>I12-I13+I14</f>
        <v/>
      </c>
      <c r="J15" s="347">
        <f>J12-J13+J14</f>
        <v/>
      </c>
      <c r="K15" s="337">
        <f>K12-K13+K14</f>
        <v/>
      </c>
      <c r="L15" s="336">
        <f>L12-L13+L14</f>
        <v/>
      </c>
      <c r="M15" s="337">
        <f>M12-M13+M14</f>
        <v/>
      </c>
      <c r="N15" s="348" t="n"/>
      <c r="O15" s="9" t="inlineStr">
        <is>
          <t>Debt/EBITDA</t>
        </is>
      </c>
      <c r="P15" s="10">
        <f>$M$14/$I$80</f>
        <v/>
      </c>
    </row>
    <row r="16">
      <c r="B16" s="2" t="inlineStr">
        <is>
          <t>EV/share</t>
        </is>
      </c>
      <c r="D16" s="349">
        <f>+D15/D11</f>
        <v/>
      </c>
      <c r="E16" s="350">
        <f>+E15/E11</f>
        <v/>
      </c>
      <c r="F16" s="349">
        <f>+F15/F11</f>
        <v/>
      </c>
      <c r="G16" s="350">
        <f>+G15/G11</f>
        <v/>
      </c>
      <c r="H16" s="349">
        <f>+H15/H11</f>
        <v/>
      </c>
      <c r="I16" s="350">
        <f>+I15/I11</f>
        <v/>
      </c>
      <c r="J16" s="351">
        <f>+J15/J11</f>
        <v/>
      </c>
      <c r="K16" s="350">
        <f>+K15/K11</f>
        <v/>
      </c>
      <c r="L16" s="349">
        <f>+L15/L11</f>
        <v/>
      </c>
      <c r="M16" s="350">
        <f>+M15/M11</f>
        <v/>
      </c>
      <c r="N16" s="351" t="n"/>
      <c r="O16" s="9" t="n"/>
      <c r="P16" s="24" t="n"/>
    </row>
    <row r="17">
      <c r="B17" s="191" t="inlineStr">
        <is>
          <t>Book Value (Equity)</t>
        </is>
      </c>
      <c r="D17" s="352">
        <f>D68</f>
        <v/>
      </c>
      <c r="E17" s="342">
        <f>E68</f>
        <v/>
      </c>
      <c r="F17" s="341">
        <f>F68</f>
        <v/>
      </c>
      <c r="G17" s="342">
        <f>G68</f>
        <v/>
      </c>
      <c r="H17" s="341">
        <f>H68</f>
        <v/>
      </c>
      <c r="I17" s="342">
        <f>I68</f>
        <v/>
      </c>
      <c r="J17" s="343">
        <f>J68</f>
        <v/>
      </c>
      <c r="K17" s="342">
        <f>K68</f>
        <v/>
      </c>
      <c r="L17" s="341">
        <f>L68</f>
        <v/>
      </c>
      <c r="M17" s="342">
        <f>M68</f>
        <v/>
      </c>
      <c r="N17" s="343" t="n"/>
      <c r="O17" s="25" t="inlineStr">
        <is>
          <t>Net Income</t>
        </is>
      </c>
      <c r="P17" s="10" t="n"/>
    </row>
    <row r="18">
      <c r="F18" s="26" t="n"/>
      <c r="H18" s="6" t="n"/>
      <c r="I18" s="83" t="n"/>
      <c r="J18" s="83" t="n"/>
      <c r="K18" s="83" t="n"/>
      <c r="L18" s="83" t="n"/>
      <c r="M18" s="83" t="n"/>
      <c r="N18" s="83" t="n"/>
      <c r="O18" s="28" t="n">
        <v>2023</v>
      </c>
      <c r="P18" s="353">
        <f>+L48</f>
        <v/>
      </c>
    </row>
    <row r="19">
      <c r="E19" s="354" t="n"/>
      <c r="H19" s="6" t="n"/>
      <c r="I19" s="83" t="n"/>
      <c r="J19" s="83" t="n"/>
      <c r="K19" s="83" t="n"/>
      <c r="L19" s="83" t="n"/>
      <c r="M19" s="83" t="n"/>
      <c r="N19" s="83" t="n"/>
      <c r="O19" s="312" t="inlineStr">
        <is>
          <t>LQA</t>
        </is>
      </c>
      <c r="P19" s="353">
        <f>+M48</f>
        <v/>
      </c>
    </row>
    <row r="20">
      <c r="B20" s="355">
        <f>"Summary Values - " &amp; L7 &amp; " (per share basis)"</f>
        <v/>
      </c>
      <c r="C20" s="356" t="n"/>
      <c r="D20" s="356" t="n"/>
      <c r="E20" s="332" t="n"/>
      <c r="O20" s="9" t="n"/>
      <c r="P20" s="353" t="n"/>
    </row>
    <row r="21">
      <c r="B21" s="9" t="inlineStr">
        <is>
          <t>Invested Capital</t>
        </is>
      </c>
      <c r="D21" s="2">
        <f>L138/L11</f>
        <v/>
      </c>
      <c r="E21" s="30">
        <f>+D21/$D$25</f>
        <v/>
      </c>
      <c r="H21" s="31" t="n"/>
      <c r="O21" s="25" t="inlineStr">
        <is>
          <t>B/S Summary</t>
        </is>
      </c>
      <c r="P21" s="353" t="n"/>
    </row>
    <row r="22">
      <c r="B22" s="190" t="inlineStr">
        <is>
          <t>PV of Comp Advantage</t>
        </is>
      </c>
      <c r="D22" s="2">
        <f>L139/L11</f>
        <v/>
      </c>
      <c r="E22" s="30">
        <f>+D22/$D$25</f>
        <v/>
      </c>
      <c r="G22" s="12" t="n"/>
      <c r="H22" s="1" t="n"/>
      <c r="I22" s="32" t="n"/>
      <c r="J22" s="32" t="n"/>
      <c r="K22" s="32" t="n"/>
      <c r="L22" s="32" t="n"/>
      <c r="M22" s="32" t="n"/>
      <c r="N22" s="32" t="n"/>
      <c r="O22" s="9" t="inlineStr">
        <is>
          <t>Cash + inv</t>
        </is>
      </c>
      <c r="P22" s="357">
        <f>M53</f>
        <v/>
      </c>
    </row>
    <row r="23">
      <c r="B23" s="9" t="inlineStr">
        <is>
          <t>Earnings Power Value</t>
        </is>
      </c>
      <c r="D23" s="2">
        <f>L140/L11</f>
        <v/>
      </c>
      <c r="E23" s="30">
        <f>+D23/$D$25</f>
        <v/>
      </c>
      <c r="I23" s="32" t="n"/>
      <c r="J23" s="32" t="n"/>
      <c r="K23" s="32" t="n"/>
      <c r="L23" s="32" t="n"/>
      <c r="M23" s="32" t="n"/>
      <c r="N23" s="32" t="n"/>
      <c r="O23" s="9" t="inlineStr">
        <is>
          <t>Net Debt</t>
        </is>
      </c>
      <c r="P23" s="357">
        <f>M67</f>
        <v/>
      </c>
    </row>
    <row r="24">
      <c r="B24" s="9" t="inlineStr">
        <is>
          <t>Market implied value of growth</t>
        </is>
      </c>
      <c r="D24" s="2">
        <f>L142/L11</f>
        <v/>
      </c>
      <c r="E24" s="30">
        <f>+D24/$D$25</f>
        <v/>
      </c>
      <c r="I24" s="58" t="n"/>
      <c r="J24" s="58" t="n"/>
      <c r="K24" s="58" t="n"/>
      <c r="L24" s="58" t="n"/>
      <c r="M24" s="58" t="n"/>
      <c r="N24" s="58" t="n"/>
      <c r="O24" s="9" t="inlineStr">
        <is>
          <t>Book value</t>
        </is>
      </c>
      <c r="P24" s="357">
        <f>M68</f>
        <v/>
      </c>
    </row>
    <row r="25">
      <c r="B25" s="34" t="inlineStr">
        <is>
          <t>EV/Share</t>
        </is>
      </c>
      <c r="C25" s="35" t="n"/>
      <c r="D25" s="358">
        <f>+D23+D24</f>
        <v/>
      </c>
      <c r="E25" s="359" t="n"/>
      <c r="I25" s="58" t="n"/>
      <c r="J25" s="58" t="n"/>
      <c r="K25" s="58" t="n"/>
      <c r="L25" s="58" t="n"/>
      <c r="M25" s="58" t="n"/>
      <c r="N25" s="58" t="n"/>
      <c r="O25" s="34" t="inlineStr">
        <is>
          <t>Tang BV</t>
        </is>
      </c>
      <c r="P25" s="360">
        <f>M70</f>
        <v/>
      </c>
    </row>
    <row r="26">
      <c r="I26" s="58" t="n"/>
      <c r="J26" s="58" t="n"/>
      <c r="K26" s="58" t="n"/>
      <c r="L26" s="58" t="n"/>
      <c r="M26" s="58" t="n"/>
      <c r="N26" s="58" t="n"/>
      <c r="P26" s="361" t="n"/>
    </row>
    <row r="27">
      <c r="I27" s="38" t="n"/>
      <c r="J27" s="38" t="n"/>
      <c r="K27" s="38" t="n"/>
      <c r="L27" s="38" t="n"/>
      <c r="M27" s="38" t="n"/>
      <c r="N27" s="38" t="n"/>
    </row>
    <row r="28">
      <c r="B28" s="313">
        <f> $B$2&amp; " Historical Financials"</f>
        <v/>
      </c>
      <c r="N28" s="275" t="n"/>
      <c r="O28" s="275" t="n"/>
      <c r="P28" s="275" t="n"/>
    </row>
    <row r="29" outlineLevel="1">
      <c r="B29" s="12" t="inlineStr">
        <is>
          <t>Income Statement</t>
        </is>
      </c>
    </row>
    <row r="30" outlineLevel="1">
      <c r="D30" s="199">
        <f>D7</f>
        <v/>
      </c>
      <c r="E30" s="199">
        <f>D30+1</f>
        <v/>
      </c>
      <c r="F30" s="199">
        <f>E30+1</f>
        <v/>
      </c>
      <c r="G30" s="199">
        <f>F30+1</f>
        <v/>
      </c>
      <c r="H30" s="199">
        <f>G30+1</f>
        <v/>
      </c>
      <c r="I30" s="199">
        <f>H30+1</f>
        <v/>
      </c>
      <c r="J30" s="199">
        <f>I30+1</f>
        <v/>
      </c>
      <c r="K30" s="199">
        <f>+K7</f>
        <v/>
      </c>
      <c r="L30" s="199">
        <f>+L7</f>
        <v/>
      </c>
      <c r="M30" s="199" t="inlineStr">
        <is>
          <t>LQA</t>
        </is>
      </c>
      <c r="N30" s="39" t="n"/>
      <c r="O30" s="39" t="n"/>
    </row>
    <row r="31" outlineLevel="1">
      <c r="B31" s="97" t="inlineStr">
        <is>
          <t>Revenue</t>
        </is>
      </c>
      <c r="D31" s="40" t="n">
        <v>0</v>
      </c>
      <c r="E31" s="71" t="n">
        <v>0</v>
      </c>
      <c r="F31" s="40" t="n">
        <v>0</v>
      </c>
      <c r="G31" s="71" t="n">
        <v>0</v>
      </c>
      <c r="H31" s="40" t="n">
        <v>0</v>
      </c>
      <c r="I31" s="71" t="n">
        <v>0</v>
      </c>
      <c r="J31" s="40" t="n">
        <v>1660.223</v>
      </c>
      <c r="K31" s="71" t="n">
        <v>739.28</v>
      </c>
      <c r="L31" s="40" t="n">
        <v>604.53</v>
      </c>
      <c r="M31" s="71" t="n">
        <v>799.048</v>
      </c>
      <c r="N31" s="40" t="n"/>
      <c r="O31" s="40" t="n"/>
    </row>
    <row r="32" outlineLevel="1">
      <c r="B32" s="97" t="inlineStr">
        <is>
          <t>COGS</t>
        </is>
      </c>
      <c r="D32" s="163" t="n">
        <v>0</v>
      </c>
      <c r="E32" s="71" t="n">
        <v>0</v>
      </c>
      <c r="F32" s="40" t="n">
        <v>0</v>
      </c>
      <c r="G32" s="71" t="n">
        <v>0</v>
      </c>
      <c r="H32" s="40" t="n">
        <v>0</v>
      </c>
      <c r="I32" s="71" t="n">
        <v>0</v>
      </c>
      <c r="J32" s="200" t="n">
        <v>0</v>
      </c>
      <c r="K32" s="267" t="n">
        <v>0</v>
      </c>
      <c r="L32" s="200" t="n">
        <v>0</v>
      </c>
      <c r="M32" s="267" t="n"/>
      <c r="N32" s="40" t="n"/>
      <c r="O32" s="55" t="n"/>
    </row>
    <row r="33" outlineLevel="1">
      <c r="B33" s="42" t="inlineStr">
        <is>
          <t xml:space="preserve">    Gross Profit</t>
        </is>
      </c>
      <c r="D33" s="43">
        <f>SUM(D31:D32)</f>
        <v/>
      </c>
      <c r="E33" s="44">
        <f>SUM(E31:E32)</f>
        <v/>
      </c>
      <c r="F33" s="45">
        <f>SUM(F31:F32)</f>
        <v/>
      </c>
      <c r="G33" s="46">
        <f>SUM(G31:G32)</f>
        <v/>
      </c>
      <c r="H33" s="45">
        <f>SUM(H31:H32)</f>
        <v/>
      </c>
      <c r="I33" s="46">
        <f>SUM(I31:I32)</f>
        <v/>
      </c>
      <c r="J33" s="47">
        <f>SUM(J31:J32)</f>
        <v/>
      </c>
      <c r="K33" s="66">
        <f>SUM(K31:K32)</f>
        <v/>
      </c>
      <c r="L33" s="47">
        <f>SUM(L31:L32)</f>
        <v/>
      </c>
      <c r="M33" s="66">
        <f>SUM(M31:M32)</f>
        <v/>
      </c>
      <c r="N33" s="47" t="n"/>
      <c r="O33" s="47" t="n"/>
    </row>
    <row r="34" outlineLevel="1">
      <c r="C34" s="48" t="inlineStr">
        <is>
          <t>GPM</t>
        </is>
      </c>
      <c r="D34" s="49">
        <f>D33/D31</f>
        <v/>
      </c>
      <c r="E34" s="50">
        <f>E33/E31</f>
        <v/>
      </c>
      <c r="F34" s="51">
        <f>F33/F31</f>
        <v/>
      </c>
      <c r="G34" s="52">
        <f>G33/G31</f>
        <v/>
      </c>
      <c r="H34" s="51">
        <f>H33/H31</f>
        <v/>
      </c>
      <c r="I34" s="52">
        <f>I33/I31</f>
        <v/>
      </c>
      <c r="J34" s="51">
        <f>J33/J31</f>
        <v/>
      </c>
      <c r="K34" s="52">
        <f>K33/K31</f>
        <v/>
      </c>
      <c r="L34" s="51">
        <f>L33/L31</f>
        <v/>
      </c>
      <c r="M34" s="52">
        <f>M33/M31</f>
        <v/>
      </c>
      <c r="N34" s="51" t="n"/>
      <c r="O34" s="51" t="n"/>
    </row>
    <row r="35" outlineLevel="1">
      <c r="D35" s="53" t="n"/>
      <c r="E35" s="54" t="n"/>
      <c r="G35" s="8" t="n"/>
      <c r="I35" s="8" t="n"/>
      <c r="K35" s="8" t="n"/>
      <c r="M35" s="8" t="n"/>
    </row>
    <row r="36" outlineLevel="1">
      <c r="B36" s="97" t="inlineStr">
        <is>
          <t>Operating Expenses (SG&amp;A)</t>
        </is>
      </c>
      <c r="D36" s="362" t="n">
        <v>0</v>
      </c>
      <c r="E36" s="363" t="n">
        <v>0</v>
      </c>
      <c r="F36" s="362" t="n">
        <v>0</v>
      </c>
      <c r="G36" s="363" t="n">
        <v>0</v>
      </c>
      <c r="H36" s="362" t="n">
        <v>0</v>
      </c>
      <c r="I36" s="56" t="n">
        <v>0</v>
      </c>
      <c r="J36" s="55" t="n">
        <v>725.958</v>
      </c>
      <c r="K36" s="56" t="n">
        <v>822.61</v>
      </c>
      <c r="L36" s="55" t="n">
        <v>735.782</v>
      </c>
      <c r="M36" s="56" t="n">
        <v>782.248</v>
      </c>
      <c r="N36" s="55" t="n"/>
      <c r="O36" s="55" t="n"/>
    </row>
    <row r="37" outlineLevel="1">
      <c r="D37" s="58" t="n"/>
      <c r="E37" s="57" t="n"/>
      <c r="F37" s="58" t="n"/>
      <c r="G37" s="57" t="n"/>
      <c r="H37" s="58" t="n"/>
      <c r="I37" s="8" t="n"/>
      <c r="K37" s="8" t="n"/>
      <c r="M37" s="8" t="n"/>
      <c r="O37" s="58" t="n"/>
    </row>
    <row r="38" outlineLevel="1">
      <c r="B38" s="2" t="inlineStr">
        <is>
          <t>Operating Profit</t>
        </is>
      </c>
      <c r="D38" s="364">
        <f>+D33-(D36+D37)</f>
        <v/>
      </c>
      <c r="E38" s="365">
        <f>+E33-(E36+E37)</f>
        <v/>
      </c>
      <c r="F38" s="364">
        <f>+F33-(F36+F37)</f>
        <v/>
      </c>
      <c r="G38" s="365">
        <f>+G33-(G36+G37)</f>
        <v/>
      </c>
      <c r="H38" s="364">
        <f>+H33-(H36+H37)</f>
        <v/>
      </c>
      <c r="I38" s="60">
        <f>+I33-(I36+I37)</f>
        <v/>
      </c>
      <c r="J38" s="59">
        <f>+J33-(J36+J37)</f>
        <v/>
      </c>
      <c r="K38" s="60">
        <f>+K33-(K36+K37)</f>
        <v/>
      </c>
      <c r="L38" s="59">
        <f>+L33-(L36+L37)</f>
        <v/>
      </c>
      <c r="M38" s="60">
        <f>+M33-(M36+M37)</f>
        <v/>
      </c>
      <c r="N38" s="59" t="n"/>
      <c r="O38" s="59" t="n"/>
    </row>
    <row r="39" outlineLevel="1">
      <c r="C39" s="48" t="inlineStr">
        <is>
          <t>OPM</t>
        </is>
      </c>
      <c r="D39" s="51">
        <f>D38/D31</f>
        <v/>
      </c>
      <c r="E39" s="52">
        <f>E38/E31</f>
        <v/>
      </c>
      <c r="F39" s="51">
        <f>F38/F31</f>
        <v/>
      </c>
      <c r="G39" s="52">
        <f>G38/G31</f>
        <v/>
      </c>
      <c r="H39" s="51">
        <f>H38/H31</f>
        <v/>
      </c>
      <c r="I39" s="52">
        <f>I38/I31</f>
        <v/>
      </c>
      <c r="J39" s="51">
        <f>J38/J31</f>
        <v/>
      </c>
      <c r="K39" s="52">
        <f>K38/K31</f>
        <v/>
      </c>
      <c r="L39" s="51">
        <f>L38/L31</f>
        <v/>
      </c>
      <c r="M39" s="52">
        <f>M38/M31</f>
        <v/>
      </c>
      <c r="N39" s="51" t="n"/>
      <c r="O39" s="51" t="n"/>
    </row>
    <row r="40" outlineLevel="1">
      <c r="D40" s="366" t="n"/>
      <c r="E40" s="367" t="n"/>
      <c r="F40" s="366" t="n"/>
      <c r="G40" s="8" t="n"/>
      <c r="I40" s="8" t="n"/>
      <c r="K40" s="8" t="n"/>
      <c r="M40" s="8" t="n"/>
    </row>
    <row r="41" outlineLevel="1">
      <c r="B41" s="97" t="inlineStr">
        <is>
          <t>Interest and other income</t>
        </is>
      </c>
      <c r="D41" s="362" t="n">
        <v>0</v>
      </c>
      <c r="E41" s="363" t="n">
        <v>0</v>
      </c>
      <c r="F41" s="362" t="n">
        <v>0</v>
      </c>
      <c r="G41" s="363" t="n">
        <v>0</v>
      </c>
      <c r="H41" s="362" t="n">
        <v>0</v>
      </c>
      <c r="I41" s="363" t="n">
        <v>0</v>
      </c>
      <c r="J41" s="362" t="n">
        <v>-1.143</v>
      </c>
      <c r="K41" s="56" t="n">
        <v>-3.138</v>
      </c>
      <c r="L41" s="55" t="n">
        <v>-3.859</v>
      </c>
      <c r="M41" s="56" t="n"/>
      <c r="N41" s="362" t="n"/>
      <c r="O41" s="362" t="n"/>
    </row>
    <row r="42" outlineLevel="1">
      <c r="B42" s="2" t="inlineStr">
        <is>
          <t>Income Before Taxes</t>
        </is>
      </c>
      <c r="D42" s="47">
        <f>D38-SUM(D41:D41)</f>
        <v/>
      </c>
      <c r="E42" s="66">
        <f>E38-SUM(E41:E41)</f>
        <v/>
      </c>
      <c r="F42" s="47">
        <f>F38-SUM(F41:F41)</f>
        <v/>
      </c>
      <c r="G42" s="66">
        <f>G38-SUM(G41:G41)</f>
        <v/>
      </c>
      <c r="H42" s="47">
        <f>H38-SUM(H41:H41)</f>
        <v/>
      </c>
      <c r="I42" s="66">
        <f>I38-SUM(I41:I41)</f>
        <v/>
      </c>
      <c r="J42" s="47">
        <f>J38-SUM(J41:J41)</f>
        <v/>
      </c>
      <c r="K42" s="66">
        <f>K38-SUM(K41:K41)</f>
        <v/>
      </c>
      <c r="L42" s="47">
        <f>L38-SUM(L41:L41)</f>
        <v/>
      </c>
      <c r="M42" s="66">
        <f>M38-SUM(M41:M41)</f>
        <v/>
      </c>
      <c r="N42" s="47" t="n"/>
      <c r="O42" s="47" t="n"/>
    </row>
    <row r="43" outlineLevel="1">
      <c r="D43" s="47" t="n"/>
      <c r="E43" s="66" t="n"/>
      <c r="F43" s="47" t="n"/>
      <c r="G43" s="66" t="n"/>
      <c r="H43" s="47" t="n"/>
      <c r="I43" s="8" t="n"/>
      <c r="K43" s="8" t="n"/>
      <c r="M43" s="8" t="n"/>
      <c r="O43" s="47" t="n"/>
    </row>
    <row r="44" outlineLevel="1">
      <c r="B44" s="97" t="inlineStr">
        <is>
          <t>Taxes</t>
        </is>
      </c>
      <c r="C44" s="67" t="n"/>
      <c r="D44" s="362" t="n">
        <v>0</v>
      </c>
      <c r="E44" s="363" t="n">
        <v>0</v>
      </c>
      <c r="F44" s="362" t="n">
        <v>0</v>
      </c>
      <c r="G44" s="363" t="n">
        <v>0</v>
      </c>
      <c r="H44" s="362" t="n">
        <v>0</v>
      </c>
      <c r="I44" s="56" t="n">
        <v>0</v>
      </c>
      <c r="J44" s="55" t="n">
        <v>62.652</v>
      </c>
      <c r="K44" s="56" t="n">
        <v>28.225</v>
      </c>
      <c r="L44" s="55" t="n">
        <v>-43.605</v>
      </c>
      <c r="M44" s="56" t="n">
        <v>80</v>
      </c>
      <c r="N44" s="55" t="n"/>
      <c r="O44" s="55" t="n"/>
    </row>
    <row r="45" outlineLevel="1">
      <c r="C45" s="48" t="inlineStr">
        <is>
          <t>Rate</t>
        </is>
      </c>
      <c r="D45" s="51">
        <f>D44/D42</f>
        <v/>
      </c>
      <c r="E45" s="52">
        <f>E44/E42</f>
        <v/>
      </c>
      <c r="F45" s="51">
        <f>F44/F42</f>
        <v/>
      </c>
      <c r="G45" s="52">
        <f>G44/G42</f>
        <v/>
      </c>
      <c r="H45" s="51">
        <f>H44/H42</f>
        <v/>
      </c>
      <c r="I45" s="52">
        <f>I44/I42</f>
        <v/>
      </c>
      <c r="J45" s="51">
        <f>J44/J42</f>
        <v/>
      </c>
      <c r="K45" s="52">
        <f>K44/K42</f>
        <v/>
      </c>
      <c r="L45" s="51">
        <f>L44/L42</f>
        <v/>
      </c>
      <c r="M45" s="52">
        <f>M44/M42</f>
        <v/>
      </c>
      <c r="N45" s="51" t="n"/>
      <c r="O45" s="51" t="n"/>
    </row>
    <row r="46" outlineLevel="1">
      <c r="B46" s="97" t="inlineStr">
        <is>
          <t>Minority Interest in Earnings</t>
        </is>
      </c>
      <c r="C46" s="48" t="n"/>
      <c r="D46" s="51" t="n"/>
      <c r="E46" s="368" t="n"/>
      <c r="F46" s="369" t="n"/>
      <c r="G46" s="368" t="n"/>
      <c r="H46" s="369" t="n"/>
      <c r="I46" s="370" t="n"/>
      <c r="J46" s="207" t="n"/>
      <c r="K46" s="266" t="n"/>
      <c r="L46" s="207" t="n">
        <v>0</v>
      </c>
      <c r="M46" s="266" t="n">
        <v>3.452</v>
      </c>
      <c r="N46" s="51" t="n"/>
      <c r="O46" s="51" t="n"/>
    </row>
    <row r="47" outlineLevel="1">
      <c r="D47" s="366" t="n"/>
      <c r="E47" s="367" t="n"/>
      <c r="F47" s="366" t="n"/>
      <c r="G47" s="8" t="n"/>
      <c r="I47" s="8" t="n"/>
      <c r="K47" s="8" t="n"/>
      <c r="M47" s="8" t="n"/>
    </row>
    <row r="48" outlineLevel="1">
      <c r="B48" s="12" t="inlineStr">
        <is>
          <t>Net Income</t>
        </is>
      </c>
      <c r="C48" s="12" t="n"/>
      <c r="D48" s="68">
        <f>+D42-D44+D46</f>
        <v/>
      </c>
      <c r="E48" s="69">
        <f>+E42-E44+E46</f>
        <v/>
      </c>
      <c r="F48" s="68">
        <f>+F42-F44+F46</f>
        <v/>
      </c>
      <c r="G48" s="69">
        <f>+G42-G44+G46</f>
        <v/>
      </c>
      <c r="H48" s="68">
        <f>+H42-H44+H46</f>
        <v/>
      </c>
      <c r="I48" s="69">
        <f>+I42-I44+I46</f>
        <v/>
      </c>
      <c r="J48" s="68">
        <f>+J42-J44+J46</f>
        <v/>
      </c>
      <c r="K48" s="69">
        <f>+K42-K44+K46</f>
        <v/>
      </c>
      <c r="L48" s="68">
        <f>+L42-L44+L46</f>
        <v/>
      </c>
      <c r="M48" s="69">
        <f>+M42-M44+M46</f>
        <v/>
      </c>
      <c r="N48" s="68" t="n"/>
      <c r="O48" s="68" t="n"/>
    </row>
    <row r="49" outlineLevel="1">
      <c r="C49" s="48" t="inlineStr">
        <is>
          <t>Margin</t>
        </is>
      </c>
      <c r="D49" s="51">
        <f>D48/D31</f>
        <v/>
      </c>
      <c r="E49" s="52">
        <f>E48/E31</f>
        <v/>
      </c>
      <c r="F49" s="51">
        <f>F48/F31</f>
        <v/>
      </c>
      <c r="G49" s="52">
        <f>G48/G31</f>
        <v/>
      </c>
      <c r="H49" s="51">
        <f>H48/H31</f>
        <v/>
      </c>
      <c r="I49" s="52">
        <f>I48/I31</f>
        <v/>
      </c>
      <c r="J49" s="51">
        <f>J48/J31</f>
        <v/>
      </c>
      <c r="K49" s="52">
        <f>K48/K31</f>
        <v/>
      </c>
      <c r="L49" s="51">
        <f>L48/L31</f>
        <v/>
      </c>
      <c r="M49" s="52">
        <f>M48/M31</f>
        <v/>
      </c>
      <c r="N49" s="51" t="n"/>
      <c r="O49" s="51" t="n"/>
    </row>
    <row r="50" outlineLevel="1">
      <c r="C50" s="48" t="n"/>
      <c r="D50" s="51" t="n"/>
      <c r="E50" s="51" t="n"/>
      <c r="F50" s="51" t="n"/>
      <c r="G50" s="51" t="n"/>
      <c r="H50" s="51" t="n"/>
      <c r="I50" s="51" t="n"/>
      <c r="J50" s="51" t="n"/>
      <c r="K50" s="51" t="n"/>
      <c r="L50" s="51" t="n"/>
      <c r="M50" s="51" t="n"/>
      <c r="N50" s="51" t="n"/>
      <c r="O50" s="51" t="n"/>
    </row>
    <row r="51" outlineLevel="1">
      <c r="B51" s="12" t="inlineStr">
        <is>
          <t>Balance Sheet</t>
        </is>
      </c>
      <c r="D51" s="70" t="n"/>
      <c r="E51" s="70" t="n"/>
      <c r="F51" s="70" t="n"/>
      <c r="G51" s="70" t="n"/>
      <c r="H51" s="70" t="n"/>
    </row>
    <row r="52" outlineLevel="2">
      <c r="B52" s="12" t="n"/>
      <c r="D52" s="199">
        <f>D7</f>
        <v/>
      </c>
      <c r="E52" s="199">
        <f>D52+1</f>
        <v/>
      </c>
      <c r="F52" s="199">
        <f>E52+1</f>
        <v/>
      </c>
      <c r="G52" s="199">
        <f>F52+1</f>
        <v/>
      </c>
      <c r="H52" s="199">
        <f>G52+1</f>
        <v/>
      </c>
      <c r="I52" s="199">
        <f>H52+1</f>
        <v/>
      </c>
      <c r="J52" s="199">
        <f>I52+1</f>
        <v/>
      </c>
      <c r="K52" s="199">
        <f>+K7</f>
        <v/>
      </c>
      <c r="L52" s="199">
        <f>+L7</f>
        <v/>
      </c>
      <c r="M52" s="199" t="inlineStr">
        <is>
          <t>LQA</t>
        </is>
      </c>
      <c r="N52" s="39" t="n"/>
    </row>
    <row r="53" outlineLevel="2">
      <c r="B53" s="97" t="inlineStr">
        <is>
          <t>Cash + Cash Equivalents</t>
        </is>
      </c>
      <c r="D53" s="40" t="n"/>
      <c r="E53" s="71" t="n"/>
      <c r="F53" s="40" t="n"/>
      <c r="G53" s="71" t="n"/>
      <c r="H53" s="40" t="n"/>
      <c r="I53" s="71" t="n"/>
      <c r="J53" s="40" t="n"/>
      <c r="K53" s="71" t="n">
        <v>25.407</v>
      </c>
      <c r="L53" s="40" t="n">
        <v>14.868</v>
      </c>
      <c r="M53" s="71" t="n">
        <v>83.11499999999999</v>
      </c>
      <c r="N53" s="40" t="n"/>
      <c r="O53" s="40" t="n"/>
    </row>
    <row r="54" outlineLevel="2">
      <c r="B54" s="97" t="inlineStr">
        <is>
          <t>Inventories</t>
        </is>
      </c>
      <c r="D54" s="40" t="n"/>
      <c r="E54" s="71" t="n"/>
      <c r="F54" s="40" t="n"/>
      <c r="G54" s="71" t="n"/>
      <c r="H54" s="40" t="n"/>
      <c r="I54" s="71" t="n"/>
      <c r="J54" s="40" t="n"/>
      <c r="K54" s="71" t="n">
        <v>9.935</v>
      </c>
      <c r="L54" s="40" t="n">
        <v>6.255</v>
      </c>
      <c r="M54" s="71" t="n">
        <v>6.422</v>
      </c>
      <c r="N54" s="40" t="n"/>
      <c r="O54" s="40" t="n"/>
    </row>
    <row r="55" outlineLevel="2">
      <c r="B55" s="97" t="inlineStr">
        <is>
          <t>A/R</t>
        </is>
      </c>
      <c r="D55" s="40" t="n"/>
      <c r="E55" s="71" t="n"/>
      <c r="F55" s="40" t="n"/>
      <c r="G55" s="71" t="n"/>
      <c r="H55" s="40" t="n"/>
      <c r="I55" s="71" t="n"/>
      <c r="J55" s="40" t="n"/>
      <c r="K55" s="71" t="n"/>
      <c r="L55" s="40" t="n"/>
      <c r="M55" s="71" t="n"/>
      <c r="N55" s="40" t="n"/>
      <c r="O55" s="40" t="n"/>
    </row>
    <row r="56" outlineLevel="2">
      <c r="B56" s="97" t="inlineStr">
        <is>
          <t>Total Current Assets</t>
        </is>
      </c>
      <c r="D56" s="40" t="n"/>
      <c r="E56" s="71" t="n"/>
      <c r="F56" s="40" t="n"/>
      <c r="G56" s="71" t="n"/>
      <c r="H56" s="40" t="n"/>
      <c r="I56" s="71" t="n"/>
      <c r="J56" s="40" t="n"/>
      <c r="K56" s="71" t="n">
        <v>312.157</v>
      </c>
      <c r="L56" s="40" t="n">
        <v>94.61</v>
      </c>
      <c r="M56" s="71" t="n">
        <v>201.544</v>
      </c>
      <c r="N56" s="40" t="n"/>
      <c r="O56" s="40" t="n"/>
    </row>
    <row r="57" outlineLevel="2" ht="16" customHeight="1" thickBot="1">
      <c r="B57" s="310" t="inlineStr">
        <is>
          <t>PP&amp;E</t>
        </is>
      </c>
      <c r="D57" s="40" t="n"/>
      <c r="E57" s="71" t="n"/>
      <c r="F57" s="40" t="n"/>
      <c r="G57" s="71" t="n"/>
      <c r="H57" s="40" t="n"/>
      <c r="I57" s="71" t="n"/>
      <c r="J57" s="40" t="n"/>
      <c r="K57" s="71" t="n"/>
      <c r="L57" s="40" t="n">
        <v>52.774</v>
      </c>
      <c r="M57" s="66" t="n">
        <v>278.6253333333333</v>
      </c>
      <c r="N57" s="47" t="n"/>
      <c r="O57" s="40" t="n"/>
    </row>
    <row r="58" outlineLevel="2">
      <c r="B58" s="2" t="inlineStr">
        <is>
          <t>Total Assets</t>
        </is>
      </c>
      <c r="D58" s="40" t="n"/>
      <c r="E58" s="71" t="n"/>
      <c r="F58" s="40" t="n"/>
      <c r="G58" s="71" t="n"/>
      <c r="H58" s="40" t="n"/>
      <c r="I58" s="71" t="n"/>
      <c r="J58" s="40" t="n"/>
      <c r="K58" s="71" t="n">
        <v>2683.146</v>
      </c>
      <c r="L58" s="40" t="n">
        <v>2231.088</v>
      </c>
      <c r="M58" s="71" t="n">
        <v>2892.219</v>
      </c>
      <c r="N58" s="40" t="n"/>
      <c r="O58" s="40" t="n"/>
    </row>
    <row r="59" outlineLevel="2">
      <c r="B59" s="12" t="n"/>
      <c r="D59" s="40" t="n"/>
      <c r="E59" s="71" t="n"/>
      <c r="F59" s="40" t="n"/>
      <c r="G59" s="71" t="n"/>
      <c r="H59" s="40" t="n"/>
      <c r="I59" s="71" t="n"/>
      <c r="J59" s="40" t="n"/>
      <c r="K59" s="71" t="n"/>
      <c r="L59" s="40" t="n"/>
      <c r="M59" s="71" t="n"/>
      <c r="N59" s="40" t="n"/>
      <c r="O59" s="40" t="n"/>
    </row>
    <row r="60" outlineLevel="2">
      <c r="B60" s="97" t="inlineStr">
        <is>
          <t>A/P</t>
        </is>
      </c>
      <c r="D60" s="40" t="n"/>
      <c r="E60" s="71" t="n"/>
      <c r="F60" s="40" t="n"/>
      <c r="G60" s="71" t="n"/>
      <c r="H60" s="40" t="n"/>
      <c r="I60" s="71" t="n"/>
      <c r="J60" s="40" t="n"/>
      <c r="K60" s="71" t="n">
        <v>47.504</v>
      </c>
      <c r="L60" s="40" t="n">
        <v>53.238</v>
      </c>
      <c r="M60" s="71" t="n">
        <v>88.03400000000001</v>
      </c>
      <c r="N60" s="40" t="n"/>
      <c r="O60" s="40" t="n"/>
    </row>
    <row r="61" outlineLevel="2" ht="16" customHeight="1" thickBot="1">
      <c r="B61" s="310" t="inlineStr">
        <is>
          <t>Other Current Liabilities</t>
        </is>
      </c>
      <c r="D61" s="305">
        <f>D62-D60</f>
        <v/>
      </c>
      <c r="E61" s="306">
        <f>E62-E60</f>
        <v/>
      </c>
      <c r="F61" s="305">
        <f>F62-F60</f>
        <v/>
      </c>
      <c r="G61" s="306">
        <f>G62-G60</f>
        <v/>
      </c>
      <c r="H61" s="305">
        <f>H62-H60</f>
        <v/>
      </c>
      <c r="I61" s="306">
        <f>I62-I60</f>
        <v/>
      </c>
      <c r="J61" s="305">
        <f>J62-J60</f>
        <v/>
      </c>
      <c r="K61" s="306">
        <f>K62-K60</f>
        <v/>
      </c>
      <c r="L61" s="305">
        <f>L62-L60</f>
        <v/>
      </c>
      <c r="M61" s="73">
        <f>M62-M60</f>
        <v/>
      </c>
      <c r="N61" s="40" t="n"/>
      <c r="O61" s="40" t="n"/>
    </row>
    <row r="62" outlineLevel="2">
      <c r="B62" s="2" t="inlineStr">
        <is>
          <t>Total Current Liabilities</t>
        </is>
      </c>
      <c r="D62" s="163" t="n"/>
      <c r="E62" s="71" t="n"/>
      <c r="F62" s="40" t="n"/>
      <c r="G62" s="71" t="n"/>
      <c r="H62" s="40" t="n"/>
      <c r="I62" s="71" t="n"/>
      <c r="J62" s="40" t="n"/>
      <c r="K62" s="71" t="n">
        <v>412.259</v>
      </c>
      <c r="L62" s="40" t="n">
        <v>166.205</v>
      </c>
      <c r="M62" s="71" t="n">
        <v>236.12</v>
      </c>
      <c r="N62" s="72" t="n"/>
      <c r="O62" s="40" t="n"/>
    </row>
    <row r="63" outlineLevel="2">
      <c r="D63" s="40" t="n"/>
      <c r="E63" s="71" t="n"/>
      <c r="F63" s="40" t="n"/>
      <c r="G63" s="71" t="n"/>
      <c r="H63" s="40" t="n"/>
      <c r="I63" s="71" t="n"/>
      <c r="J63" s="40" t="n"/>
      <c r="K63" s="71" t="n"/>
      <c r="L63" s="40" t="n"/>
      <c r="M63" s="71" t="n"/>
      <c r="N63" s="40" t="n"/>
      <c r="O63" s="40" t="n"/>
    </row>
    <row r="64" outlineLevel="2" ht="16" customHeight="1" thickBot="1">
      <c r="B64" s="310" t="inlineStr">
        <is>
          <t>Long-term Debt</t>
        </is>
      </c>
      <c r="D64" s="40" t="n">
        <v>0</v>
      </c>
      <c r="E64" s="71" t="n">
        <v>0</v>
      </c>
      <c r="F64" s="40" t="n">
        <v>0</v>
      </c>
      <c r="G64" s="71" t="n">
        <v>0</v>
      </c>
      <c r="H64" s="40" t="n">
        <v>0</v>
      </c>
      <c r="I64" s="71" t="n">
        <v>0</v>
      </c>
      <c r="J64" s="40" t="n">
        <v>0</v>
      </c>
      <c r="K64" s="71" t="n">
        <v>579.0359999999999</v>
      </c>
      <c r="L64" s="40" t="n">
        <v>165</v>
      </c>
      <c r="M64" s="71" t="n">
        <v>486.559</v>
      </c>
      <c r="N64" s="40" t="n"/>
      <c r="O64" s="40" t="n"/>
    </row>
    <row r="65" outlineLevel="2">
      <c r="B65" s="2" t="inlineStr">
        <is>
          <t>Total Liabilities</t>
        </is>
      </c>
      <c r="D65" s="40">
        <f>D64+D62</f>
        <v/>
      </c>
      <c r="E65" s="71">
        <f>E64+E62</f>
        <v/>
      </c>
      <c r="F65" s="40">
        <f>F64+F62</f>
        <v/>
      </c>
      <c r="G65" s="71">
        <f>G64+G62</f>
        <v/>
      </c>
      <c r="H65" s="40">
        <f>H64+H62</f>
        <v/>
      </c>
      <c r="I65" s="71">
        <f>I64+I62</f>
        <v/>
      </c>
      <c r="J65" s="40">
        <f>J64+J62</f>
        <v/>
      </c>
      <c r="K65" s="71" t="n">
        <v>1205.423</v>
      </c>
      <c r="L65" s="40" t="n">
        <v>671.514</v>
      </c>
      <c r="M65" s="71" t="n">
        <v>1086.206</v>
      </c>
      <c r="N65" s="40" t="n"/>
      <c r="O65" s="40" t="n"/>
    </row>
    <row r="66" outlineLevel="2">
      <c r="D66" s="40" t="n"/>
      <c r="E66" s="71" t="n"/>
      <c r="F66" s="40" t="n"/>
      <c r="G66" s="71" t="n"/>
      <c r="H66" s="40" t="n"/>
      <c r="I66" s="71" t="n"/>
      <c r="J66" s="40" t="n"/>
      <c r="K66" s="71" t="n"/>
      <c r="L66" s="40" t="n"/>
      <c r="M66" s="71" t="n"/>
      <c r="N66" s="40" t="n"/>
      <c r="O66" s="40" t="n"/>
    </row>
    <row r="67" outlineLevel="2">
      <c r="B67" s="2" t="inlineStr">
        <is>
          <t>Net Debt</t>
        </is>
      </c>
      <c r="D67" s="47">
        <f>D64-D53</f>
        <v/>
      </c>
      <c r="E67" s="66">
        <f>E64-E53</f>
        <v/>
      </c>
      <c r="F67" s="47">
        <f>F64-F53</f>
        <v/>
      </c>
      <c r="G67" s="66">
        <f>G64-G53</f>
        <v/>
      </c>
      <c r="H67" s="47">
        <f>H64-H53</f>
        <v/>
      </c>
      <c r="I67" s="66">
        <f>I64-I53</f>
        <v/>
      </c>
      <c r="J67" s="47">
        <f>J64-J53</f>
        <v/>
      </c>
      <c r="K67" s="66">
        <f>K64-K53</f>
        <v/>
      </c>
      <c r="L67" s="47">
        <f>L64-L53</f>
        <v/>
      </c>
      <c r="M67" s="66">
        <f>M64-M53</f>
        <v/>
      </c>
      <c r="N67" s="47" t="n"/>
      <c r="O67" s="47" t="n"/>
    </row>
    <row r="68" outlineLevel="2">
      <c r="B68" s="2" t="inlineStr">
        <is>
          <t>Book Value</t>
        </is>
      </c>
      <c r="D68" s="371">
        <f>D58-D65</f>
        <v/>
      </c>
      <c r="E68" s="372">
        <f>E58-E65</f>
        <v/>
      </c>
      <c r="F68" s="373">
        <f>F58-F65</f>
        <v/>
      </c>
      <c r="G68" s="372">
        <f>G58-G65</f>
        <v/>
      </c>
      <c r="H68" s="371">
        <f>H58-H65</f>
        <v/>
      </c>
      <c r="I68" s="372">
        <f>I58-I65</f>
        <v/>
      </c>
      <c r="J68" s="373">
        <f>J58-J65</f>
        <v/>
      </c>
      <c r="K68" s="372">
        <f>K58-K65</f>
        <v/>
      </c>
      <c r="L68" s="373">
        <f>L58-L65</f>
        <v/>
      </c>
      <c r="M68" s="372">
        <f>M58-M65</f>
        <v/>
      </c>
      <c r="N68" s="373" t="n"/>
      <c r="O68" s="40" t="n"/>
    </row>
    <row r="69" outlineLevel="2">
      <c r="B69" s="2" t="inlineStr">
        <is>
          <t>Intangible Assets &amp;/or GW</t>
        </is>
      </c>
      <c r="D69" s="40" t="n"/>
      <c r="E69" s="71" t="n"/>
      <c r="F69" s="40" t="n"/>
      <c r="G69" s="71" t="n"/>
      <c r="H69" s="40" t="n"/>
      <c r="I69" s="71" t="n"/>
      <c r="J69" s="40" t="n"/>
      <c r="K69" s="71" t="n">
        <v>18.417</v>
      </c>
      <c r="L69" s="40" t="n">
        <v>18.417</v>
      </c>
      <c r="M69" s="71" t="n">
        <v>18.417</v>
      </c>
      <c r="N69" s="40" t="n"/>
      <c r="O69" s="40" t="n"/>
    </row>
    <row r="70" outlineLevel="2">
      <c r="B70" s="12" t="inlineStr">
        <is>
          <t>*Tangible Book Value</t>
        </is>
      </c>
      <c r="D70" s="77">
        <f>+D68-D69</f>
        <v/>
      </c>
      <c r="E70" s="78">
        <f>+E68-E69</f>
        <v/>
      </c>
      <c r="F70" s="77">
        <f>+F68-F69</f>
        <v/>
      </c>
      <c r="G70" s="78">
        <f>+G68-G69</f>
        <v/>
      </c>
      <c r="H70" s="77">
        <f>+H68-H69</f>
        <v/>
      </c>
      <c r="I70" s="78">
        <f>+I68-I69</f>
        <v/>
      </c>
      <c r="J70" s="77">
        <f>+J68-J69</f>
        <v/>
      </c>
      <c r="K70" s="78">
        <f>+K68-K69</f>
        <v/>
      </c>
      <c r="L70" s="77">
        <f>+L68-L69</f>
        <v/>
      </c>
      <c r="M70" s="78">
        <f>+M68-M69</f>
        <v/>
      </c>
      <c r="N70" s="77" t="n"/>
    </row>
    <row r="71">
      <c r="B71" s="12" t="n"/>
      <c r="D71" s="77" t="n"/>
      <c r="E71" s="77" t="n"/>
      <c r="F71" s="77" t="n"/>
      <c r="G71" s="77" t="n"/>
      <c r="H71" s="77" t="n"/>
      <c r="I71" s="77" t="n"/>
      <c r="J71" s="77" t="n"/>
      <c r="K71" s="77" t="n"/>
      <c r="L71" s="77" t="n"/>
      <c r="M71" s="77" t="n"/>
      <c r="N71" s="77" t="n"/>
    </row>
    <row r="72">
      <c r="B72" s="313">
        <f> $B$2&amp; " NOPAT"</f>
        <v/>
      </c>
      <c r="N72" s="276" t="n"/>
      <c r="O72" s="277" t="n"/>
      <c r="P72" s="277" t="n"/>
    </row>
    <row r="73" outlineLevel="1">
      <c r="B73" s="12" t="n"/>
      <c r="D73" s="77" t="n"/>
      <c r="E73" s="77" t="n"/>
      <c r="F73" s="77" t="n"/>
      <c r="G73" s="77" t="n"/>
      <c r="H73" s="77" t="n"/>
      <c r="I73" s="77" t="n"/>
      <c r="J73" s="77" t="n"/>
      <c r="K73" s="77" t="n"/>
      <c r="L73" s="77" t="n"/>
      <c r="M73" s="77" t="n"/>
      <c r="N73" s="77" t="n"/>
    </row>
    <row r="74" outlineLevel="1">
      <c r="D74" s="70" t="n"/>
      <c r="E74" s="70" t="n"/>
      <c r="F74" s="70" t="n"/>
      <c r="G74" s="70" t="n"/>
      <c r="H74" s="70" t="n"/>
    </row>
    <row r="75" outlineLevel="1">
      <c r="B75" s="31" t="inlineStr">
        <is>
          <t>EBITDA Build-up</t>
        </is>
      </c>
      <c r="D75" s="199">
        <f>D7</f>
        <v/>
      </c>
      <c r="E75" s="199">
        <f>D75+1</f>
        <v/>
      </c>
      <c r="F75" s="199">
        <f>E75+1</f>
        <v/>
      </c>
      <c r="G75" s="199">
        <f>F75+1</f>
        <v/>
      </c>
      <c r="H75" s="199">
        <f>G75+1</f>
        <v/>
      </c>
      <c r="I75" s="199">
        <f>H75+1</f>
        <v/>
      </c>
      <c r="J75" s="199">
        <f>I75+1</f>
        <v/>
      </c>
      <c r="K75" s="199">
        <f>+K7</f>
        <v/>
      </c>
      <c r="L75" s="199">
        <f>+L7</f>
        <v/>
      </c>
      <c r="M75" s="199" t="inlineStr">
        <is>
          <t>LQA</t>
        </is>
      </c>
      <c r="O75" s="53" t="n"/>
    </row>
    <row r="76" outlineLevel="1">
      <c r="B76" s="2" t="inlineStr">
        <is>
          <t>Net Income</t>
        </is>
      </c>
      <c r="D76" s="47">
        <f>D48</f>
        <v/>
      </c>
      <c r="E76" s="66">
        <f>E48</f>
        <v/>
      </c>
      <c r="F76" s="47">
        <f>F48</f>
        <v/>
      </c>
      <c r="G76" s="73">
        <f>G48</f>
        <v/>
      </c>
      <c r="H76" s="72">
        <f>H48</f>
        <v/>
      </c>
      <c r="I76" s="73">
        <f>I48</f>
        <v/>
      </c>
      <c r="J76" s="72">
        <f>J48</f>
        <v/>
      </c>
      <c r="K76" s="73">
        <f>K48</f>
        <v/>
      </c>
      <c r="L76" s="72">
        <f>L48</f>
        <v/>
      </c>
      <c r="M76" s="73">
        <f>M48</f>
        <v/>
      </c>
      <c r="N76" s="72" t="n"/>
    </row>
    <row r="77" outlineLevel="1">
      <c r="B77" s="2" t="inlineStr">
        <is>
          <t>Taxes</t>
        </is>
      </c>
      <c r="D77" s="47">
        <f>+D44</f>
        <v/>
      </c>
      <c r="E77" s="66">
        <f>+E44</f>
        <v/>
      </c>
      <c r="F77" s="47">
        <f>+F44</f>
        <v/>
      </c>
      <c r="G77" s="66">
        <f>+G44</f>
        <v/>
      </c>
      <c r="H77" s="47">
        <f>+H44</f>
        <v/>
      </c>
      <c r="I77" s="66">
        <f>+I44</f>
        <v/>
      </c>
      <c r="J77" s="47">
        <f>+J44</f>
        <v/>
      </c>
      <c r="K77" s="66">
        <f>+K44</f>
        <v/>
      </c>
      <c r="L77" s="47">
        <f>+L44</f>
        <v/>
      </c>
      <c r="M77" s="66">
        <f>+M44</f>
        <v/>
      </c>
      <c r="N77" s="47" t="n"/>
    </row>
    <row r="78" outlineLevel="1">
      <c r="B78" s="273" t="inlineStr">
        <is>
          <t>Interest and other income</t>
        </is>
      </c>
      <c r="D78" s="172">
        <f>+D41</f>
        <v/>
      </c>
      <c r="E78" s="73">
        <f>+E41</f>
        <v/>
      </c>
      <c r="F78" s="72">
        <f>+F41</f>
        <v/>
      </c>
      <c r="G78" s="73">
        <f>+G41</f>
        <v/>
      </c>
      <c r="H78" s="72">
        <f>+H41</f>
        <v/>
      </c>
      <c r="I78" s="73">
        <f>+I41</f>
        <v/>
      </c>
      <c r="J78" s="72">
        <f>+J41</f>
        <v/>
      </c>
      <c r="K78" s="73">
        <f>+K41</f>
        <v/>
      </c>
      <c r="L78" s="72">
        <f>+L41</f>
        <v/>
      </c>
      <c r="M78" s="73">
        <f>+M41</f>
        <v/>
      </c>
      <c r="N78" s="72" t="n"/>
    </row>
    <row r="79" outlineLevel="1">
      <c r="B79" s="97" t="inlineStr">
        <is>
          <t>D&amp;A</t>
        </is>
      </c>
      <c r="D79" s="40" t="n"/>
      <c r="E79" s="71" t="n"/>
      <c r="F79" s="40" t="n"/>
      <c r="G79" s="174" t="n"/>
      <c r="H79" s="374" t="n"/>
      <c r="I79" s="71" t="n"/>
      <c r="J79" s="200" t="n">
        <v>130.038</v>
      </c>
      <c r="K79" s="267" t="n">
        <v>224.427</v>
      </c>
      <c r="L79" s="200" t="n">
        <v>217.892</v>
      </c>
      <c r="M79" s="267" t="n">
        <v>154.9013333333333</v>
      </c>
      <c r="N79" s="40" t="n"/>
      <c r="O79" s="307" t="n"/>
    </row>
    <row r="80" outlineLevel="1">
      <c r="B80" s="12" t="inlineStr">
        <is>
          <t>EBITDA</t>
        </is>
      </c>
      <c r="C80" s="12" t="n"/>
      <c r="D80" s="80">
        <f>SUM(D76:D79)</f>
        <v/>
      </c>
      <c r="E80" s="81">
        <f>SUM(E76:E79)</f>
        <v/>
      </c>
      <c r="F80" s="80">
        <f>SUM(F76:F79)</f>
        <v/>
      </c>
      <c r="G80" s="81">
        <f>SUM(G76:G79)</f>
        <v/>
      </c>
      <c r="H80" s="80">
        <f>SUM(H76:H79)</f>
        <v/>
      </c>
      <c r="I80" s="81">
        <f>SUM(I76:I79)</f>
        <v/>
      </c>
      <c r="J80" s="68">
        <f>SUM(J76:J79)</f>
        <v/>
      </c>
      <c r="K80" s="69">
        <f>SUM(K76:K79)</f>
        <v/>
      </c>
      <c r="L80" s="68">
        <f>SUM(L76:L79)</f>
        <v/>
      </c>
      <c r="M80" s="69">
        <f>SUM(M76:M79)</f>
        <v/>
      </c>
      <c r="N80" s="68" t="n"/>
    </row>
    <row r="81" outlineLevel="1">
      <c r="B81" s="82" t="inlineStr">
        <is>
          <t xml:space="preserve">    Margin</t>
        </is>
      </c>
      <c r="D81" s="51">
        <f>D80/D31</f>
        <v/>
      </c>
      <c r="E81" s="52">
        <f>E80/E31</f>
        <v/>
      </c>
      <c r="F81" s="51">
        <f>F80/F31</f>
        <v/>
      </c>
      <c r="G81" s="52">
        <f>G80/G31</f>
        <v/>
      </c>
      <c r="H81" s="171">
        <f>H80/H31</f>
        <v/>
      </c>
      <c r="I81" s="52">
        <f>I80/I31</f>
        <v/>
      </c>
      <c r="J81" s="51">
        <f>J80/J31</f>
        <v/>
      </c>
      <c r="K81" s="52">
        <f>K80/K31</f>
        <v/>
      </c>
      <c r="L81" s="51">
        <f>L80/L31</f>
        <v/>
      </c>
      <c r="M81" s="52">
        <f>M80/M31</f>
        <v/>
      </c>
      <c r="N81" s="51" t="n"/>
    </row>
    <row r="82" outlineLevel="1">
      <c r="E82" s="8" t="n"/>
      <c r="G82" s="8" t="n"/>
      <c r="I82" s="8" t="n"/>
      <c r="K82" s="8" t="n"/>
      <c r="M82" s="8" t="n"/>
    </row>
    <row r="83" outlineLevel="1">
      <c r="B83" s="2" t="inlineStr">
        <is>
          <t>Non-operating / One Time Items</t>
        </is>
      </c>
      <c r="D83" s="72" t="n">
        <v>0</v>
      </c>
      <c r="E83" s="73" t="n">
        <v>0</v>
      </c>
      <c r="F83" s="72" t="n">
        <v>0</v>
      </c>
      <c r="G83" s="73" t="n">
        <v>0</v>
      </c>
      <c r="H83" s="72" t="n">
        <v>0</v>
      </c>
      <c r="I83" s="73" t="n">
        <v>0</v>
      </c>
      <c r="J83" s="201" t="n">
        <v>0</v>
      </c>
      <c r="K83" s="268" t="n"/>
      <c r="L83" s="201" t="n"/>
      <c r="M83" s="268" t="n"/>
      <c r="N83" s="72" t="n"/>
      <c r="O83" s="79" t="n"/>
    </row>
    <row r="84" outlineLevel="1">
      <c r="B84" s="12" t="inlineStr">
        <is>
          <t>EBITDA (adjusted)</t>
        </is>
      </c>
      <c r="C84" s="12" t="n"/>
      <c r="D84" s="80">
        <f>D80+D83</f>
        <v/>
      </c>
      <c r="E84" s="81">
        <f>E80+E83</f>
        <v/>
      </c>
      <c r="F84" s="80">
        <f>F80+F83</f>
        <v/>
      </c>
      <c r="G84" s="81">
        <f>G80+G83</f>
        <v/>
      </c>
      <c r="H84" s="80">
        <f>H80+H83</f>
        <v/>
      </c>
      <c r="I84" s="81">
        <f>I80+I83</f>
        <v/>
      </c>
      <c r="J84" s="68">
        <f>J80+J83</f>
        <v/>
      </c>
      <c r="K84" s="69">
        <f>K80+K83</f>
        <v/>
      </c>
      <c r="L84" s="68">
        <f>L80+L83</f>
        <v/>
      </c>
      <c r="M84" s="69">
        <f>M80+M83</f>
        <v/>
      </c>
      <c r="N84" s="68" t="n"/>
    </row>
    <row r="85" outlineLevel="1">
      <c r="B85" s="82" t="inlineStr">
        <is>
          <t xml:space="preserve">    Margin (adjusted)</t>
        </is>
      </c>
      <c r="D85" s="51">
        <f>D84/D31</f>
        <v/>
      </c>
      <c r="E85" s="52">
        <f>E84/E31</f>
        <v/>
      </c>
      <c r="F85" s="51">
        <f>F84/F31</f>
        <v/>
      </c>
      <c r="G85" s="52">
        <f>G84/G31</f>
        <v/>
      </c>
      <c r="H85" s="171">
        <f>H84/H31</f>
        <v/>
      </c>
      <c r="I85" s="52">
        <f>I84/I31</f>
        <v/>
      </c>
      <c r="J85" s="51">
        <f>J84/J31</f>
        <v/>
      </c>
      <c r="K85" s="52">
        <f>K84/K31</f>
        <v/>
      </c>
      <c r="L85" s="51">
        <f>L84/L31</f>
        <v/>
      </c>
      <c r="M85" s="52">
        <f>M84/M31</f>
        <v/>
      </c>
      <c r="N85" s="51" t="n"/>
    </row>
    <row r="86" outlineLevel="1">
      <c r="B86" s="82" t="n"/>
      <c r="D86" s="51" t="n"/>
      <c r="E86" s="52" t="n"/>
      <c r="F86" s="51" t="n"/>
      <c r="G86" s="52" t="n"/>
      <c r="H86" s="51" t="n"/>
      <c r="I86" s="8" t="n"/>
      <c r="K86" s="8" t="n"/>
      <c r="M86" s="8" t="n"/>
    </row>
    <row r="87" outlineLevel="1">
      <c r="B87" s="31" t="inlineStr">
        <is>
          <t>Free Cash Flow Maintenance</t>
        </is>
      </c>
      <c r="E87" s="8" t="n"/>
      <c r="G87" s="8" t="n"/>
      <c r="I87" s="8" t="n"/>
      <c r="K87" s="8" t="n"/>
      <c r="M87" s="8" t="n"/>
      <c r="O87" s="31" t="n"/>
    </row>
    <row r="88" outlineLevel="1">
      <c r="B88" s="2" t="inlineStr">
        <is>
          <t>Operating Profit</t>
        </is>
      </c>
      <c r="D88" s="83">
        <f>+D38</f>
        <v/>
      </c>
      <c r="E88" s="84">
        <f>+E38</f>
        <v/>
      </c>
      <c r="F88" s="83">
        <f>+F38</f>
        <v/>
      </c>
      <c r="G88" s="84">
        <f>+G38</f>
        <v/>
      </c>
      <c r="H88" s="83">
        <f>+H38</f>
        <v/>
      </c>
      <c r="I88" s="84">
        <f>+I38</f>
        <v/>
      </c>
      <c r="J88" s="83">
        <f>+J38</f>
        <v/>
      </c>
      <c r="K88" s="84">
        <f>+K38</f>
        <v/>
      </c>
      <c r="L88" s="83">
        <f>+L38</f>
        <v/>
      </c>
      <c r="M88" s="84">
        <f>+M38</f>
        <v/>
      </c>
      <c r="N88" s="83" t="n"/>
    </row>
    <row r="89" outlineLevel="1">
      <c r="B89" s="2" t="inlineStr">
        <is>
          <t>Taxes</t>
        </is>
      </c>
      <c r="D89" s="58">
        <f>+D77</f>
        <v/>
      </c>
      <c r="E89" s="57">
        <f>+E77</f>
        <v/>
      </c>
      <c r="F89" s="58">
        <f>+F77</f>
        <v/>
      </c>
      <c r="G89" s="57">
        <f>+G77</f>
        <v/>
      </c>
      <c r="H89" s="58">
        <f>+H77</f>
        <v/>
      </c>
      <c r="I89" s="57">
        <f>+I77</f>
        <v/>
      </c>
      <c r="J89" s="58">
        <f>+J77</f>
        <v/>
      </c>
      <c r="K89" s="57">
        <f>+K77</f>
        <v/>
      </c>
      <c r="L89" s="58">
        <f>+L77</f>
        <v/>
      </c>
      <c r="M89" s="57">
        <f>+M77</f>
        <v/>
      </c>
      <c r="N89" s="58" t="n"/>
      <c r="O89" s="2" t="inlineStr">
        <is>
          <t xml:space="preserve"> </t>
        </is>
      </c>
    </row>
    <row r="90" outlineLevel="1">
      <c r="B90" s="2" t="inlineStr">
        <is>
          <t>Operating Profit After Tax</t>
        </is>
      </c>
      <c r="D90" s="47">
        <f>+D88-D89</f>
        <v/>
      </c>
      <c r="E90" s="66">
        <f>+E88-E89</f>
        <v/>
      </c>
      <c r="F90" s="47">
        <f>+F88-F89</f>
        <v/>
      </c>
      <c r="G90" s="66">
        <f>+G88-G89</f>
        <v/>
      </c>
      <c r="H90" s="47">
        <f>+H88-H89</f>
        <v/>
      </c>
      <c r="I90" s="66">
        <f>+I88-I89</f>
        <v/>
      </c>
      <c r="J90" s="47">
        <f>+J88-J89</f>
        <v/>
      </c>
      <c r="K90" s="66">
        <f>+K88-K89</f>
        <v/>
      </c>
      <c r="L90" s="47">
        <f>+L88-L89</f>
        <v/>
      </c>
      <c r="M90" s="66">
        <f>+M88-M89</f>
        <v/>
      </c>
      <c r="N90" s="47" t="n"/>
    </row>
    <row r="91" outlineLevel="1">
      <c r="B91" s="2" t="inlineStr">
        <is>
          <t>Plus: D&amp;A</t>
        </is>
      </c>
      <c r="D91" s="47">
        <f>D79</f>
        <v/>
      </c>
      <c r="E91" s="66">
        <f>E79</f>
        <v/>
      </c>
      <c r="F91" s="47">
        <f>F79</f>
        <v/>
      </c>
      <c r="G91" s="375">
        <f>G79</f>
        <v/>
      </c>
      <c r="H91" s="47">
        <f>H79</f>
        <v/>
      </c>
      <c r="I91" s="66">
        <f>I79</f>
        <v/>
      </c>
      <c r="J91" s="47">
        <f>J79</f>
        <v/>
      </c>
      <c r="K91" s="66">
        <f>K79</f>
        <v/>
      </c>
      <c r="L91" s="47">
        <f>L79</f>
        <v/>
      </c>
      <c r="M91" s="66">
        <f>M79</f>
        <v/>
      </c>
      <c r="N91" s="47" t="n"/>
      <c r="O91" s="12" t="n"/>
      <c r="P91" s="12" t="n"/>
    </row>
    <row r="92" outlineLevel="1">
      <c r="B92" s="2" t="inlineStr">
        <is>
          <t>Less: Capex Maint</t>
        </is>
      </c>
      <c r="D92" s="47">
        <f>-D105</f>
        <v/>
      </c>
      <c r="E92" s="66">
        <f>-E105</f>
        <v/>
      </c>
      <c r="F92" s="47">
        <f>-F105</f>
        <v/>
      </c>
      <c r="G92" s="375">
        <f>-G105</f>
        <v/>
      </c>
      <c r="H92" s="47">
        <f>-H105</f>
        <v/>
      </c>
      <c r="I92" s="66">
        <f>-I105</f>
        <v/>
      </c>
      <c r="J92" s="104">
        <f>-J105</f>
        <v/>
      </c>
      <c r="K92" s="105">
        <f>-K105</f>
        <v/>
      </c>
      <c r="L92" s="104">
        <f>-L105</f>
        <v/>
      </c>
      <c r="M92" s="105">
        <f>-M105</f>
        <v/>
      </c>
      <c r="N92" s="47" t="n"/>
      <c r="O92" s="48" t="n"/>
      <c r="P92" s="48" t="n"/>
    </row>
    <row r="93" outlineLevel="1">
      <c r="B93" s="12" t="inlineStr">
        <is>
          <t>NOPAT</t>
        </is>
      </c>
      <c r="C93" s="12" t="n"/>
      <c r="D93" s="80">
        <f>SUM(D90:D92)</f>
        <v/>
      </c>
      <c r="E93" s="81">
        <f>SUM(E90:E92)</f>
        <v/>
      </c>
      <c r="F93" s="376">
        <f>SUM(F90:F92)</f>
        <v/>
      </c>
      <c r="G93" s="81">
        <f>SUM(G90:G92)</f>
        <v/>
      </c>
      <c r="H93" s="80">
        <f>SUM(H90:H92)</f>
        <v/>
      </c>
      <c r="I93" s="81">
        <f>SUM(I90:I92)</f>
        <v/>
      </c>
      <c r="J93" s="68">
        <f>SUM(J90:J92)</f>
        <v/>
      </c>
      <c r="K93" s="69">
        <f>SUM(K90:K92)</f>
        <v/>
      </c>
      <c r="L93" s="68">
        <f>SUM(L90:L92)</f>
        <v/>
      </c>
      <c r="M93" s="69">
        <f>SUM(M90:M92)</f>
        <v/>
      </c>
      <c r="N93" s="68" t="n"/>
    </row>
    <row r="94" outlineLevel="1">
      <c r="B94" s="82" t="inlineStr">
        <is>
          <t xml:space="preserve">    Margin</t>
        </is>
      </c>
      <c r="C94" s="12" t="n"/>
      <c r="D94" s="114">
        <f>+D93/D31</f>
        <v/>
      </c>
      <c r="E94" s="110">
        <f>+E93/E31</f>
        <v/>
      </c>
      <c r="F94" s="114">
        <f>+F93/F31</f>
        <v/>
      </c>
      <c r="G94" s="110">
        <f>+G93/G31</f>
        <v/>
      </c>
      <c r="H94" s="114">
        <f>+H93/H31</f>
        <v/>
      </c>
      <c r="I94" s="110">
        <f>+I93/I31</f>
        <v/>
      </c>
      <c r="J94" s="114">
        <f>+J93/J31</f>
        <v/>
      </c>
      <c r="K94" s="110">
        <f>+K93/K31</f>
        <v/>
      </c>
      <c r="L94" s="114">
        <f>+L93/L31</f>
        <v/>
      </c>
      <c r="M94" s="110">
        <f>+M93/M31</f>
        <v/>
      </c>
      <c r="N94" s="114" t="n"/>
    </row>
    <row r="95" outlineLevel="1"/>
    <row r="96" outlineLevel="1">
      <c r="B96" s="88" t="inlineStr">
        <is>
          <t>NOPAT</t>
        </is>
      </c>
      <c r="C96" s="377">
        <f>I93</f>
        <v/>
      </c>
    </row>
    <row r="97" outlineLevel="1">
      <c r="B97" s="90" t="inlineStr">
        <is>
          <t>WACC</t>
        </is>
      </c>
      <c r="C97" s="91" t="n">
        <v>0.08</v>
      </c>
      <c r="H97" s="42" t="n"/>
    </row>
    <row r="98" outlineLevel="1">
      <c r="B98" s="9" t="inlineStr">
        <is>
          <t>EPV</t>
        </is>
      </c>
      <c r="C98" s="378">
        <f>C96/C97</f>
        <v/>
      </c>
    </row>
    <row r="99" outlineLevel="1">
      <c r="B99" s="9" t="inlineStr">
        <is>
          <t>Shares Outstanding</t>
        </is>
      </c>
      <c r="C99" s="379">
        <f>I11</f>
        <v/>
      </c>
    </row>
    <row r="100" outlineLevel="1">
      <c r="B100" s="93" t="inlineStr">
        <is>
          <t>Per Share</t>
        </is>
      </c>
      <c r="C100" s="160">
        <f>C98/C99</f>
        <v/>
      </c>
      <c r="E100" s="12" t="n"/>
      <c r="F100" s="12" t="n"/>
    </row>
    <row r="102">
      <c r="B102" s="313">
        <f> $B$2&amp; " Invested Capital Detail"</f>
        <v/>
      </c>
      <c r="N102" s="275" t="n"/>
      <c r="O102" s="275" t="n"/>
      <c r="P102" s="275" t="n"/>
    </row>
    <row r="104" outlineLevel="1">
      <c r="D104" s="199">
        <f>D7</f>
        <v/>
      </c>
      <c r="E104" s="199">
        <f>D104+1</f>
        <v/>
      </c>
      <c r="F104" s="199">
        <f>E104+1</f>
        <v/>
      </c>
      <c r="G104" s="199">
        <f>F104+1</f>
        <v/>
      </c>
      <c r="H104" s="199">
        <f>G104+1</f>
        <v/>
      </c>
      <c r="I104" s="199">
        <f>H104+1</f>
        <v/>
      </c>
      <c r="J104" s="199">
        <f>I104+1</f>
        <v/>
      </c>
      <c r="K104" s="199">
        <f>+K7</f>
        <v/>
      </c>
      <c r="L104" s="199">
        <f>+L7</f>
        <v/>
      </c>
      <c r="M104" s="199" t="inlineStr">
        <is>
          <t>LQA</t>
        </is>
      </c>
      <c r="N104" s="39" t="n"/>
    </row>
    <row r="105" outlineLevel="1">
      <c r="B105" s="94" t="inlineStr">
        <is>
          <t>Depreciation</t>
        </is>
      </c>
      <c r="D105" s="47">
        <f>D79</f>
        <v/>
      </c>
      <c r="E105" s="66">
        <f>E79</f>
        <v/>
      </c>
      <c r="F105" s="47">
        <f>F79</f>
        <v/>
      </c>
      <c r="G105" s="375">
        <f>G79</f>
        <v/>
      </c>
      <c r="H105" s="47">
        <f>H79</f>
        <v/>
      </c>
      <c r="I105" s="66">
        <f>I79</f>
        <v/>
      </c>
      <c r="J105" s="47">
        <f>J79</f>
        <v/>
      </c>
      <c r="K105" s="66">
        <f>K79</f>
        <v/>
      </c>
      <c r="L105" s="47">
        <f>L79</f>
        <v/>
      </c>
      <c r="M105" s="66">
        <f>M79</f>
        <v/>
      </c>
      <c r="N105" s="47" t="n"/>
    </row>
    <row r="106" outlineLevel="1">
      <c r="B106" s="311" t="inlineStr">
        <is>
          <t>CapEx</t>
        </is>
      </c>
      <c r="D106" s="40" t="n"/>
      <c r="E106" s="71">
        <f>E57-D57+E105</f>
        <v/>
      </c>
      <c r="F106" s="40">
        <f>F57-E57+F105</f>
        <v/>
      </c>
      <c r="G106" s="71">
        <f>G57-F57+G105</f>
        <v/>
      </c>
      <c r="H106" s="40">
        <f>H57-G57+H105</f>
        <v/>
      </c>
      <c r="I106" s="71">
        <f>I57-H57+I105</f>
        <v/>
      </c>
      <c r="J106" s="40">
        <f>J57-I57+J105</f>
        <v/>
      </c>
      <c r="K106" s="71">
        <f>K57-J57+K105</f>
        <v/>
      </c>
      <c r="L106" s="40">
        <f>L57-K57+L105</f>
        <v/>
      </c>
      <c r="M106" s="71">
        <f>M57-L57+M105</f>
        <v/>
      </c>
      <c r="N106" s="40" t="n"/>
      <c r="P106" s="79" t="n"/>
    </row>
    <row r="107" outlineLevel="1">
      <c r="B107" s="94" t="inlineStr">
        <is>
          <t>Maintenance CapEx</t>
        </is>
      </c>
      <c r="D107" s="72">
        <f>+D105</f>
        <v/>
      </c>
      <c r="E107" s="73">
        <f>+E105</f>
        <v/>
      </c>
      <c r="F107" s="72">
        <f>+F105</f>
        <v/>
      </c>
      <c r="G107" s="73">
        <f>+G105</f>
        <v/>
      </c>
      <c r="H107" s="72">
        <f>+H105</f>
        <v/>
      </c>
      <c r="I107" s="73">
        <f>+I105</f>
        <v/>
      </c>
      <c r="J107" s="72">
        <f>+J105</f>
        <v/>
      </c>
      <c r="K107" s="73">
        <f>+K105</f>
        <v/>
      </c>
      <c r="L107" s="72">
        <f>+L105</f>
        <v/>
      </c>
      <c r="M107" s="73">
        <f>+M105</f>
        <v/>
      </c>
      <c r="N107" s="72" t="n"/>
      <c r="P107" s="79" t="n"/>
    </row>
    <row r="108" outlineLevel="1">
      <c r="B108" s="94" t="inlineStr">
        <is>
          <t>Growth CapEx</t>
        </is>
      </c>
      <c r="D108" s="72">
        <f>+D106-D107</f>
        <v/>
      </c>
      <c r="E108" s="73">
        <f>+E106-E107</f>
        <v/>
      </c>
      <c r="F108" s="72">
        <f>+F106-F107</f>
        <v/>
      </c>
      <c r="G108" s="73">
        <f>+G106-G107</f>
        <v/>
      </c>
      <c r="H108" s="72">
        <f>+H106-H107</f>
        <v/>
      </c>
      <c r="I108" s="73">
        <f>+I106-I107</f>
        <v/>
      </c>
      <c r="J108" s="72">
        <f>+J106-J107</f>
        <v/>
      </c>
      <c r="K108" s="73">
        <f>+K106-K107</f>
        <v/>
      </c>
      <c r="L108" s="72">
        <f>+L106-L107</f>
        <v/>
      </c>
      <c r="M108" s="73">
        <f>+M106-M107</f>
        <v/>
      </c>
      <c r="N108" s="72" t="n"/>
      <c r="P108" s="79" t="n"/>
    </row>
    <row r="109" outlineLevel="1">
      <c r="B109" s="94" t="n"/>
      <c r="D109" s="40" t="n"/>
      <c r="E109" s="95" t="n"/>
      <c r="F109" s="96" t="n"/>
      <c r="G109" s="71" t="n"/>
      <c r="H109" s="97" t="n"/>
      <c r="I109" s="8" t="n"/>
      <c r="J109" s="35" t="n"/>
      <c r="K109" s="269" t="n"/>
      <c r="L109" s="35" t="n"/>
      <c r="M109" s="269" t="n"/>
    </row>
    <row r="110" outlineLevel="1">
      <c r="B110" s="98" t="inlineStr">
        <is>
          <t>Total PP&amp;E</t>
        </is>
      </c>
      <c r="D110" s="99" t="n"/>
      <c r="E110" s="100" t="n"/>
      <c r="F110" s="99" t="n"/>
      <c r="G110" s="100" t="n"/>
      <c r="H110" s="99" t="n"/>
      <c r="I110" s="100" t="n"/>
      <c r="J110" s="200" t="n"/>
      <c r="K110" s="267" t="n"/>
      <c r="L110" s="200" t="n"/>
      <c r="M110" s="267" t="n"/>
      <c r="N110" s="40" t="n"/>
    </row>
    <row r="111" outlineLevel="1">
      <c r="B111" s="94" t="inlineStr">
        <is>
          <t>Less: accumulated depreciation</t>
        </is>
      </c>
      <c r="D111" s="99" t="n"/>
      <c r="E111" s="100" t="n"/>
      <c r="F111" s="99" t="n"/>
      <c r="G111" s="100" t="n"/>
      <c r="H111" s="99" t="n"/>
      <c r="I111" s="100" t="n"/>
      <c r="J111" s="200" t="n"/>
      <c r="K111" s="267" t="n"/>
      <c r="L111" s="200" t="n"/>
      <c r="M111" s="267" t="n"/>
      <c r="N111" s="40" t="n"/>
      <c r="O111" s="101" t="n"/>
      <c r="P111" s="101" t="n"/>
    </row>
    <row r="112" outlineLevel="1">
      <c r="B112" s="94" t="inlineStr">
        <is>
          <t>PP&amp;E</t>
        </is>
      </c>
      <c r="D112" s="72">
        <f>D57</f>
        <v/>
      </c>
      <c r="E112" s="73">
        <f>E57</f>
        <v/>
      </c>
      <c r="F112" s="72">
        <f>F57</f>
        <v/>
      </c>
      <c r="G112" s="73">
        <f>G57</f>
        <v/>
      </c>
      <c r="H112" s="72">
        <f>H57</f>
        <v/>
      </c>
      <c r="I112" s="73">
        <f>I57</f>
        <v/>
      </c>
      <c r="J112" s="72">
        <f>J57</f>
        <v/>
      </c>
      <c r="K112" s="73">
        <f>K57</f>
        <v/>
      </c>
      <c r="L112" s="72">
        <f>L57</f>
        <v/>
      </c>
      <c r="M112" s="73">
        <f>M57</f>
        <v/>
      </c>
      <c r="N112" s="72" t="n"/>
      <c r="O112" s="101" t="n"/>
      <c r="P112" s="102" t="n"/>
    </row>
    <row r="114">
      <c r="B114" s="313">
        <f> $B$2&amp; " ROIC Analysis"</f>
        <v/>
      </c>
      <c r="N114" s="275" t="n"/>
      <c r="O114" s="275" t="n"/>
      <c r="P114" s="275" t="n"/>
    </row>
    <row r="115" outlineLevel="1"/>
    <row r="116" outlineLevel="1" ht="18" customHeight="1">
      <c r="D116" s="199">
        <f>D7</f>
        <v/>
      </c>
      <c r="E116" s="199">
        <f>D116+1</f>
        <v/>
      </c>
      <c r="F116" s="199">
        <f>E116+1</f>
        <v/>
      </c>
      <c r="G116" s="199">
        <f>F116+1</f>
        <v/>
      </c>
      <c r="H116" s="199">
        <f>G116+1</f>
        <v/>
      </c>
      <c r="I116" s="199">
        <f>H116+1</f>
        <v/>
      </c>
      <c r="J116" s="199">
        <f>I116+1</f>
        <v/>
      </c>
      <c r="K116" s="199">
        <f>+K7</f>
        <v/>
      </c>
      <c r="L116" s="199">
        <f>+L7</f>
        <v/>
      </c>
      <c r="M116" s="199" t="inlineStr">
        <is>
          <t>LQA</t>
        </is>
      </c>
      <c r="N116" s="39" t="n"/>
      <c r="O116" s="380" t="inlineStr">
        <is>
          <t>ROIC Equations</t>
        </is>
      </c>
      <c r="P116" s="332" t="n"/>
    </row>
    <row r="117" outlineLevel="1">
      <c r="B117" s="2" t="inlineStr">
        <is>
          <t>EBITDA (adjusted)</t>
        </is>
      </c>
      <c r="D117" s="47">
        <f>D84</f>
        <v/>
      </c>
      <c r="E117" s="66">
        <f>E84</f>
        <v/>
      </c>
      <c r="F117" s="47">
        <f>F84</f>
        <v/>
      </c>
      <c r="G117" s="66">
        <f>G84</f>
        <v/>
      </c>
      <c r="H117" s="47">
        <f>H84</f>
        <v/>
      </c>
      <c r="I117" s="66">
        <f>I84</f>
        <v/>
      </c>
      <c r="J117" s="47">
        <f>J84</f>
        <v/>
      </c>
      <c r="K117" s="66">
        <f>K84</f>
        <v/>
      </c>
      <c r="L117" s="47">
        <f>L84</f>
        <v/>
      </c>
      <c r="M117" s="66">
        <f>M84</f>
        <v/>
      </c>
      <c r="N117" s="47" t="n"/>
      <c r="O117" s="103" t="n"/>
      <c r="P117" s="24" t="n"/>
    </row>
    <row r="118" outlineLevel="1">
      <c r="B118" s="2" t="inlineStr">
        <is>
          <t>Maint. Capex</t>
        </is>
      </c>
      <c r="D118" s="104">
        <f>D92</f>
        <v/>
      </c>
      <c r="E118" s="105">
        <f>E92</f>
        <v/>
      </c>
      <c r="F118" s="104">
        <f>F92</f>
        <v/>
      </c>
      <c r="G118" s="105">
        <f>G92</f>
        <v/>
      </c>
      <c r="H118" s="104">
        <f>H92</f>
        <v/>
      </c>
      <c r="I118" s="105">
        <f>I92</f>
        <v/>
      </c>
      <c r="J118" s="104">
        <f>J92</f>
        <v/>
      </c>
      <c r="K118" s="105">
        <f>K92</f>
        <v/>
      </c>
      <c r="L118" s="104">
        <f>L92</f>
        <v/>
      </c>
      <c r="M118" s="105">
        <f>M92</f>
        <v/>
      </c>
      <c r="N118" s="47" t="n"/>
      <c r="O118" s="381" t="inlineStr">
        <is>
          <t>NOPAT</t>
        </is>
      </c>
      <c r="P118" s="382" t="n"/>
    </row>
    <row r="119" outlineLevel="1">
      <c r="E119" s="8" t="n"/>
      <c r="G119" s="8" t="n"/>
      <c r="I119" s="8" t="n"/>
      <c r="J119" s="202" t="n"/>
      <c r="K119" s="270" t="n"/>
      <c r="L119" s="202" t="n"/>
      <c r="M119" s="270" t="n"/>
      <c r="O119" s="383" t="inlineStr">
        <is>
          <t>Invested Capital</t>
        </is>
      </c>
      <c r="P119" s="382" t="n"/>
    </row>
    <row r="120" outlineLevel="1">
      <c r="B120" s="2" t="inlineStr">
        <is>
          <t>Pre-tax</t>
        </is>
      </c>
      <c r="D120" s="106">
        <f>+D117+D118</f>
        <v/>
      </c>
      <c r="E120" s="107">
        <f>+E117+E118</f>
        <v/>
      </c>
      <c r="F120" s="106">
        <f>+F117+F118</f>
        <v/>
      </c>
      <c r="G120" s="107">
        <f>+G117+G118</f>
        <v/>
      </c>
      <c r="H120" s="106">
        <f>+H117+H118</f>
        <v/>
      </c>
      <c r="I120" s="107">
        <f>+I117+I118</f>
        <v/>
      </c>
      <c r="J120" s="106">
        <f>+J117+J118</f>
        <v/>
      </c>
      <c r="K120" s="107">
        <f>+K117+K118</f>
        <v/>
      </c>
      <c r="L120" s="106">
        <f>+L117+L118</f>
        <v/>
      </c>
      <c r="M120" s="107">
        <f>+M117+M118</f>
        <v/>
      </c>
      <c r="N120" s="47" t="n"/>
      <c r="O120" s="9" t="n"/>
      <c r="P120" s="108" t="n"/>
    </row>
    <row r="121" outlineLevel="1">
      <c r="B121" s="42" t="inlineStr">
        <is>
          <t xml:space="preserve">    tax rate</t>
        </is>
      </c>
      <c r="D121" s="114">
        <f>+D45</f>
        <v/>
      </c>
      <c r="E121" s="110">
        <f>+E45</f>
        <v/>
      </c>
      <c r="F121" s="114">
        <f>+F45</f>
        <v/>
      </c>
      <c r="G121" s="110">
        <f>+G45</f>
        <v/>
      </c>
      <c r="H121" s="114">
        <f>+H45</f>
        <v/>
      </c>
      <c r="I121" s="110">
        <f>+I45</f>
        <v/>
      </c>
      <c r="J121" s="114">
        <f>+J45</f>
        <v/>
      </c>
      <c r="K121" s="110">
        <f>+K45</f>
        <v/>
      </c>
      <c r="L121" s="114">
        <f>+L45</f>
        <v/>
      </c>
      <c r="M121" s="110">
        <f>+M45</f>
        <v/>
      </c>
      <c r="N121" s="114" t="n"/>
      <c r="O121" s="383" t="inlineStr">
        <is>
          <t>Which is equal to:</t>
        </is>
      </c>
      <c r="P121" s="382" t="n"/>
    </row>
    <row r="122" outlineLevel="1">
      <c r="B122" s="42" t="inlineStr">
        <is>
          <t xml:space="preserve">    taxes</t>
        </is>
      </c>
      <c r="D122" s="203">
        <f>+D120*D121</f>
        <v/>
      </c>
      <c r="E122" s="112">
        <f>+E120*E121</f>
        <v/>
      </c>
      <c r="F122" s="203">
        <f>+F120*F121</f>
        <v/>
      </c>
      <c r="G122" s="112">
        <f>+G120*G121</f>
        <v/>
      </c>
      <c r="H122" s="203">
        <f>+H120*H121</f>
        <v/>
      </c>
      <c r="I122" s="112">
        <f>+I120*I121</f>
        <v/>
      </c>
      <c r="J122" s="203">
        <f>+J120*J121</f>
        <v/>
      </c>
      <c r="K122" s="112">
        <f>+K120*K121</f>
        <v/>
      </c>
      <c r="L122" s="203">
        <f>+L120*L121</f>
        <v/>
      </c>
      <c r="M122" s="112">
        <f>+M120*M121</f>
        <v/>
      </c>
      <c r="N122" s="113" t="n"/>
      <c r="O122" s="103" t="n"/>
      <c r="P122" s="108" t="n"/>
    </row>
    <row r="123" outlineLevel="1">
      <c r="B123" s="42" t="inlineStr">
        <is>
          <t>NOPAT (implied)</t>
        </is>
      </c>
      <c r="D123" s="47">
        <f>+D120-D122</f>
        <v/>
      </c>
      <c r="E123" s="66">
        <f>+E120-E122</f>
        <v/>
      </c>
      <c r="F123" s="47">
        <f>+F120-F122</f>
        <v/>
      </c>
      <c r="G123" s="66">
        <f>+G120-G122</f>
        <v/>
      </c>
      <c r="H123" s="47">
        <f>+H120-H122</f>
        <v/>
      </c>
      <c r="I123" s="66">
        <f>+I120-I122</f>
        <v/>
      </c>
      <c r="J123" s="47">
        <f>+J120-J122</f>
        <v/>
      </c>
      <c r="K123" s="66">
        <f>+K120-K122</f>
        <v/>
      </c>
      <c r="L123" s="47">
        <f>+L120-L122</f>
        <v/>
      </c>
      <c r="M123" s="66">
        <f>+M120-M122</f>
        <v/>
      </c>
      <c r="N123" s="47" t="n"/>
      <c r="O123" s="384" t="inlineStr">
        <is>
          <t>(EBITDA - Maintence Capex - Taxes)</t>
        </is>
      </c>
      <c r="P123" s="382" t="n"/>
    </row>
    <row r="124" outlineLevel="1">
      <c r="B124" s="258" t="inlineStr">
        <is>
          <t xml:space="preserve">    % margin</t>
        </is>
      </c>
      <c r="C124" s="259" t="n"/>
      <c r="D124" s="264">
        <f>+D123/D31</f>
        <v/>
      </c>
      <c r="E124" s="263">
        <f>+E123/E31</f>
        <v/>
      </c>
      <c r="F124" s="264">
        <f>+F123/F31</f>
        <v/>
      </c>
      <c r="G124" s="263">
        <f>+G123/G31</f>
        <v/>
      </c>
      <c r="H124" s="264">
        <f>+H123/H31</f>
        <v/>
      </c>
      <c r="I124" s="263">
        <f>+I123/I31</f>
        <v/>
      </c>
      <c r="J124" s="264">
        <f>+J123/J31</f>
        <v/>
      </c>
      <c r="K124" s="263">
        <f>+K123/K31</f>
        <v/>
      </c>
      <c r="L124" s="264">
        <f>+L123/L31</f>
        <v/>
      </c>
      <c r="M124" s="263">
        <f>+M123/M31</f>
        <v/>
      </c>
      <c r="N124" s="114" t="n"/>
      <c r="O124" s="385" t="inlineStr">
        <is>
          <t>PP&amp;E + Net Working Capital</t>
        </is>
      </c>
      <c r="P124" s="382" t="n"/>
    </row>
    <row r="125" outlineLevel="1">
      <c r="D125" s="47" t="n"/>
      <c r="E125" s="66" t="n"/>
      <c r="F125" s="47" t="n"/>
      <c r="G125" s="66" t="n"/>
      <c r="I125" s="8" t="n"/>
      <c r="K125" s="8" t="n"/>
      <c r="M125" s="8" t="n"/>
      <c r="O125" s="34" t="n"/>
      <c r="P125" s="115" t="n"/>
    </row>
    <row r="126" outlineLevel="1">
      <c r="B126" s="2" t="inlineStr">
        <is>
          <t>PP&amp;E</t>
        </is>
      </c>
      <c r="D126" s="47">
        <f>D112</f>
        <v/>
      </c>
      <c r="E126" s="66">
        <f>E112</f>
        <v/>
      </c>
      <c r="F126" s="47">
        <f>F112</f>
        <v/>
      </c>
      <c r="G126" s="66">
        <f>G112</f>
        <v/>
      </c>
      <c r="H126" s="47">
        <f>H112</f>
        <v/>
      </c>
      <c r="I126" s="66">
        <f>I112</f>
        <v/>
      </c>
      <c r="J126" s="47">
        <f>J112</f>
        <v/>
      </c>
      <c r="K126" s="66">
        <f>K112</f>
        <v/>
      </c>
      <c r="L126" s="47">
        <f>L112</f>
        <v/>
      </c>
      <c r="M126" s="66">
        <f>M112</f>
        <v/>
      </c>
      <c r="N126" s="47" t="n"/>
      <c r="P126" s="116" t="n"/>
    </row>
    <row r="127" outlineLevel="1">
      <c r="B127" s="42" t="inlineStr">
        <is>
          <t xml:space="preserve">    Current Assets</t>
        </is>
      </c>
      <c r="D127" s="47">
        <f>+D56</f>
        <v/>
      </c>
      <c r="E127" s="66">
        <f>+E56</f>
        <v/>
      </c>
      <c r="F127" s="47">
        <f>+F56</f>
        <v/>
      </c>
      <c r="G127" s="66">
        <f>+G56</f>
        <v/>
      </c>
      <c r="H127" s="47">
        <f>+H56</f>
        <v/>
      </c>
      <c r="I127" s="386">
        <f>+I56</f>
        <v/>
      </c>
      <c r="J127" s="387">
        <f>+J56</f>
        <v/>
      </c>
      <c r="K127" s="386">
        <f>+K56</f>
        <v/>
      </c>
      <c r="L127" s="387">
        <f>+L56</f>
        <v/>
      </c>
      <c r="M127" s="386">
        <f>+M56</f>
        <v/>
      </c>
      <c r="N127" s="387" t="n"/>
      <c r="O127" s="101" t="n"/>
      <c r="P127" s="116" t="n"/>
    </row>
    <row r="128" outlineLevel="1">
      <c r="B128" s="42" t="inlineStr">
        <is>
          <t xml:space="preserve">    Current Liabilities</t>
        </is>
      </c>
      <c r="D128" s="47">
        <f>+D62</f>
        <v/>
      </c>
      <c r="E128" s="66">
        <f>+E62</f>
        <v/>
      </c>
      <c r="F128" s="47">
        <f>+F62</f>
        <v/>
      </c>
      <c r="G128" s="66">
        <f>+G62</f>
        <v/>
      </c>
      <c r="H128" s="47">
        <f>+H62</f>
        <v/>
      </c>
      <c r="I128" s="66">
        <f>+I62</f>
        <v/>
      </c>
      <c r="J128" s="47">
        <f>+J62</f>
        <v/>
      </c>
      <c r="K128" s="66">
        <f>+K62</f>
        <v/>
      </c>
      <c r="L128" s="47">
        <f>+L62</f>
        <v/>
      </c>
      <c r="M128" s="66">
        <f>+M62</f>
        <v/>
      </c>
      <c r="N128" s="47" t="n"/>
      <c r="P128" s="116" t="n"/>
    </row>
    <row r="129" outlineLevel="1">
      <c r="B129" s="2" t="inlineStr">
        <is>
          <t>CA - CL</t>
        </is>
      </c>
      <c r="D129" s="72">
        <f>+D127-D128</f>
        <v/>
      </c>
      <c r="E129" s="73">
        <f>+E127-E128</f>
        <v/>
      </c>
      <c r="F129" s="72">
        <f>+F127-F128</f>
        <v/>
      </c>
      <c r="G129" s="73">
        <f>+G127-G128</f>
        <v/>
      </c>
      <c r="H129" s="72">
        <f>+H127-H128</f>
        <v/>
      </c>
      <c r="I129" s="73">
        <f>+I127-I128</f>
        <v/>
      </c>
      <c r="J129" s="201">
        <f>+J127-J128</f>
        <v/>
      </c>
      <c r="K129" s="268">
        <f>+K127-K128</f>
        <v/>
      </c>
      <c r="L129" s="201">
        <f>+L127-L128</f>
        <v/>
      </c>
      <c r="M129" s="268">
        <f>+M127-M128</f>
        <v/>
      </c>
      <c r="N129" s="72" t="n"/>
      <c r="P129" s="79" t="n"/>
    </row>
    <row r="130" outlineLevel="1">
      <c r="B130" s="149" t="inlineStr">
        <is>
          <t>Total IC</t>
        </is>
      </c>
      <c r="D130" s="45">
        <f>+D126+D129</f>
        <v/>
      </c>
      <c r="E130" s="46">
        <f>+E126+E129</f>
        <v/>
      </c>
      <c r="F130" s="45">
        <f>+F126+F129</f>
        <v/>
      </c>
      <c r="G130" s="46">
        <f>+G126+G129</f>
        <v/>
      </c>
      <c r="H130" s="45">
        <f>+H126+H129</f>
        <v/>
      </c>
      <c r="I130" s="46">
        <f>+I126+I129</f>
        <v/>
      </c>
      <c r="J130" s="47">
        <f>+J126+J129</f>
        <v/>
      </c>
      <c r="K130" s="66">
        <f>+K126+K129</f>
        <v/>
      </c>
      <c r="L130" s="47">
        <f>+L126+L129</f>
        <v/>
      </c>
      <c r="M130" s="66">
        <f>+M126+M129</f>
        <v/>
      </c>
      <c r="N130" s="47" t="n"/>
    </row>
    <row r="131" outlineLevel="1">
      <c r="B131" s="254" t="inlineStr">
        <is>
          <t>Rev / Total IC (Scale)</t>
        </is>
      </c>
      <c r="C131" s="255" t="n"/>
      <c r="D131" s="256">
        <f>D31/D130</f>
        <v/>
      </c>
      <c r="E131" s="257">
        <f>E31/E130</f>
        <v/>
      </c>
      <c r="F131" s="256">
        <f>F31/F130</f>
        <v/>
      </c>
      <c r="G131" s="257">
        <f>G31/G130</f>
        <v/>
      </c>
      <c r="H131" s="256">
        <f>H31/H130</f>
        <v/>
      </c>
      <c r="I131" s="257">
        <f>I31/I130</f>
        <v/>
      </c>
      <c r="J131" s="256">
        <f>J31/J130</f>
        <v/>
      </c>
      <c r="K131" s="257">
        <f>K31/K130</f>
        <v/>
      </c>
      <c r="L131" s="256">
        <f>L31/L130</f>
        <v/>
      </c>
      <c r="M131" s="257">
        <f>M31/M130</f>
        <v/>
      </c>
      <c r="N131" s="47" t="n"/>
    </row>
    <row r="132" outlineLevel="1" ht="14" customHeight="1">
      <c r="D132" s="39" t="n"/>
      <c r="E132" s="39" t="n"/>
      <c r="F132" s="39" t="n"/>
      <c r="G132" s="39" t="n"/>
      <c r="H132" s="39" t="n"/>
      <c r="I132" s="39" t="n"/>
      <c r="J132" s="39" t="n"/>
      <c r="K132" s="39" t="n"/>
      <c r="L132" s="39" t="n"/>
      <c r="M132" s="39" t="n"/>
      <c r="N132" s="39" t="n"/>
    </row>
    <row r="133" outlineLevel="1">
      <c r="B133" s="119" t="inlineStr">
        <is>
          <t>ROIC</t>
        </is>
      </c>
      <c r="C133" s="120" t="n"/>
      <c r="D133" s="121">
        <f>D123/D130</f>
        <v/>
      </c>
      <c r="E133" s="121">
        <f>E123/E130</f>
        <v/>
      </c>
      <c r="F133" s="121">
        <f>F123/F130</f>
        <v/>
      </c>
      <c r="G133" s="121">
        <f>G123/G130</f>
        <v/>
      </c>
      <c r="H133" s="121">
        <f>H123/H130</f>
        <v/>
      </c>
      <c r="I133" s="121">
        <f>I123/I130</f>
        <v/>
      </c>
      <c r="J133" s="121">
        <f>J123/J130</f>
        <v/>
      </c>
      <c r="K133" s="121">
        <f>K123/K130</f>
        <v/>
      </c>
      <c r="L133" s="121">
        <f>L123/L130</f>
        <v/>
      </c>
      <c r="M133" s="122">
        <f>M123/M130</f>
        <v/>
      </c>
      <c r="N133" s="123" t="n"/>
      <c r="O133" s="124" t="n"/>
    </row>
    <row r="134" outlineLevel="1">
      <c r="B134" s="12" t="inlineStr">
        <is>
          <t>Cost of Capital</t>
        </is>
      </c>
      <c r="D134" s="124" t="n">
        <v>0.1</v>
      </c>
      <c r="E134" s="124" t="n">
        <v>0.1</v>
      </c>
      <c r="F134" s="124" t="n">
        <v>0.1</v>
      </c>
      <c r="G134" s="124" t="n">
        <v>0.1</v>
      </c>
      <c r="H134" s="124" t="n">
        <v>0.1</v>
      </c>
      <c r="I134" s="124" t="n">
        <v>0.1</v>
      </c>
      <c r="J134" s="124" t="n">
        <v>0.1</v>
      </c>
      <c r="K134" s="124" t="n">
        <v>0.1</v>
      </c>
      <c r="L134" s="124" t="n">
        <v>0.1</v>
      </c>
      <c r="M134" s="124" t="n">
        <v>0.1</v>
      </c>
      <c r="N134" s="124" t="n"/>
    </row>
    <row r="135">
      <c r="B135" s="12" t="n"/>
      <c r="D135" s="124" t="n"/>
      <c r="E135" s="124" t="n"/>
      <c r="F135" s="124" t="n"/>
      <c r="G135" s="124" t="n"/>
      <c r="H135" s="124" t="n"/>
      <c r="I135" s="124" t="n"/>
      <c r="J135" s="124" t="n"/>
      <c r="K135" s="124" t="n"/>
      <c r="L135" s="124" t="n"/>
      <c r="M135" s="124" t="n"/>
      <c r="N135" s="124" t="n"/>
    </row>
    <row r="136">
      <c r="B136" s="313">
        <f> $B$2&amp; " Valuation Components"</f>
        <v/>
      </c>
      <c r="N136" s="278" t="n"/>
      <c r="O136" s="277" t="n"/>
      <c r="P136" s="277" t="n"/>
    </row>
    <row r="137" outlineLevel="1" ht="32" customHeight="1">
      <c r="B137" s="12" t="n"/>
      <c r="D137" s="199">
        <f>D7</f>
        <v/>
      </c>
      <c r="E137" s="199">
        <f>D137+1</f>
        <v/>
      </c>
      <c r="F137" s="199">
        <f>E137+1</f>
        <v/>
      </c>
      <c r="G137" s="199">
        <f>F137+1</f>
        <v/>
      </c>
      <c r="H137" s="199">
        <f>G137+1</f>
        <v/>
      </c>
      <c r="I137" s="199">
        <f>H137+1</f>
        <v/>
      </c>
      <c r="J137" s="199">
        <f>I137+1</f>
        <v/>
      </c>
      <c r="K137" s="199">
        <f>+K7</f>
        <v/>
      </c>
      <c r="L137" s="199">
        <f>+L7</f>
        <v/>
      </c>
      <c r="M137" s="199" t="inlineStr">
        <is>
          <t>LQA</t>
        </is>
      </c>
      <c r="N137" s="39" t="n"/>
      <c r="P137" s="125" t="n"/>
    </row>
    <row r="138" outlineLevel="1">
      <c r="B138" s="214" t="inlineStr">
        <is>
          <t>Invested capital</t>
        </is>
      </c>
      <c r="C138" s="214" t="n"/>
      <c r="D138" s="215">
        <f>D130</f>
        <v/>
      </c>
      <c r="E138" s="215">
        <f>E130</f>
        <v/>
      </c>
      <c r="F138" s="215">
        <f>F130</f>
        <v/>
      </c>
      <c r="G138" s="215">
        <f>G130</f>
        <v/>
      </c>
      <c r="H138" s="215">
        <f>H130</f>
        <v/>
      </c>
      <c r="I138" s="215">
        <f>I130</f>
        <v/>
      </c>
      <c r="J138" s="215">
        <f>J130</f>
        <v/>
      </c>
      <c r="K138" s="215">
        <f>K130</f>
        <v/>
      </c>
      <c r="L138" s="215">
        <f>L130</f>
        <v/>
      </c>
      <c r="M138" s="215">
        <f>M130</f>
        <v/>
      </c>
      <c r="N138" s="126" t="n"/>
      <c r="O138" s="114" t="n"/>
      <c r="P138" s="388" t="n"/>
    </row>
    <row r="139" outlineLevel="1" ht="18" customHeight="1">
      <c r="B139" s="216" t="inlineStr">
        <is>
          <t>Present value of competitive advantage</t>
        </is>
      </c>
      <c r="C139" s="217" t="n"/>
      <c r="D139" s="389">
        <f>+D140-D138</f>
        <v/>
      </c>
      <c r="E139" s="219">
        <f>+E140-E138</f>
        <v/>
      </c>
      <c r="F139" s="219">
        <f>+F140-F138</f>
        <v/>
      </c>
      <c r="G139" s="219">
        <f>+G140-G138</f>
        <v/>
      </c>
      <c r="H139" s="219">
        <f>+H140-H138</f>
        <v/>
      </c>
      <c r="I139" s="219">
        <f>+I140-I138</f>
        <v/>
      </c>
      <c r="J139" s="219">
        <f>+J140-J138</f>
        <v/>
      </c>
      <c r="K139" s="219">
        <f>+K140-K138</f>
        <v/>
      </c>
      <c r="L139" s="219">
        <f>+L140-L138</f>
        <v/>
      </c>
      <c r="M139" s="219">
        <f>+M140-M138</f>
        <v/>
      </c>
      <c r="N139" s="128" t="n"/>
      <c r="O139" s="114" t="n"/>
      <c r="P139" s="388" t="n"/>
    </row>
    <row r="140" outlineLevel="1">
      <c r="B140" s="224" t="inlineStr">
        <is>
          <t>Earnings Power Value</t>
        </is>
      </c>
      <c r="C140" s="225" t="n"/>
      <c r="D140" s="226">
        <f>+D123/D134</f>
        <v/>
      </c>
      <c r="E140" s="226">
        <f>+E123/E134</f>
        <v/>
      </c>
      <c r="F140" s="226">
        <f>+F123/F134</f>
        <v/>
      </c>
      <c r="G140" s="226">
        <f>+G123/G134</f>
        <v/>
      </c>
      <c r="H140" s="226">
        <f>+H123/H134</f>
        <v/>
      </c>
      <c r="I140" s="226">
        <f>+I123/I134</f>
        <v/>
      </c>
      <c r="J140" s="226">
        <f>+J123/J134</f>
        <v/>
      </c>
      <c r="K140" s="226">
        <f>+K123/K134</f>
        <v/>
      </c>
      <c r="L140" s="226">
        <f>+L123/L134</f>
        <v/>
      </c>
      <c r="M140" s="226">
        <f>+M123/M134</f>
        <v/>
      </c>
      <c r="N140" s="130" t="n"/>
      <c r="O140" s="114" t="n"/>
      <c r="P140" s="388" t="n"/>
    </row>
    <row r="141" outlineLevel="1">
      <c r="B141" s="129" t="n"/>
      <c r="D141" s="130" t="n"/>
      <c r="E141" s="130" t="n"/>
      <c r="F141" s="130" t="n"/>
      <c r="G141" s="130" t="n"/>
      <c r="H141" s="130" t="n"/>
      <c r="I141" s="130" t="n"/>
      <c r="J141" s="130" t="n"/>
      <c r="K141" s="130" t="n"/>
      <c r="L141" s="130" t="n"/>
      <c r="M141" s="130" t="n"/>
      <c r="N141" s="130" t="n"/>
      <c r="O141" s="114" t="n"/>
      <c r="P141" s="388" t="n"/>
    </row>
    <row r="142" outlineLevel="1">
      <c r="B142" s="220" t="inlineStr">
        <is>
          <t>Market Implied value of NOPAT growth</t>
        </is>
      </c>
      <c r="C142" s="221" t="n"/>
      <c r="D142" s="390">
        <f>D143-D140</f>
        <v/>
      </c>
      <c r="E142" s="223">
        <f>E143-E140</f>
        <v/>
      </c>
      <c r="F142" s="223">
        <f>F143-F140</f>
        <v/>
      </c>
      <c r="G142" s="223">
        <f>G143-G140</f>
        <v/>
      </c>
      <c r="H142" s="223">
        <f>H143-H140</f>
        <v/>
      </c>
      <c r="I142" s="223">
        <f>I143-I140</f>
        <v/>
      </c>
      <c r="J142" s="223">
        <f>J143-J140</f>
        <v/>
      </c>
      <c r="K142" s="223">
        <f>K143-K140</f>
        <v/>
      </c>
      <c r="L142" s="223">
        <f>L143-L140</f>
        <v/>
      </c>
      <c r="M142" s="223">
        <f>M143-M140</f>
        <v/>
      </c>
      <c r="N142" s="131" t="n"/>
      <c r="O142" s="114" t="n"/>
      <c r="P142" s="388" t="n"/>
    </row>
    <row r="143" outlineLevel="1">
      <c r="B143" s="227" t="inlineStr">
        <is>
          <t>EV</t>
        </is>
      </c>
      <c r="C143" s="228" t="n"/>
      <c r="D143" s="391">
        <f>D15</f>
        <v/>
      </c>
      <c r="E143" s="391">
        <f>E15</f>
        <v/>
      </c>
      <c r="F143" s="391">
        <f>F15</f>
        <v/>
      </c>
      <c r="G143" s="391">
        <f>G15</f>
        <v/>
      </c>
      <c r="H143" s="391">
        <f>H15</f>
        <v/>
      </c>
      <c r="I143" s="391">
        <f>I15</f>
        <v/>
      </c>
      <c r="J143" s="392">
        <f>J15</f>
        <v/>
      </c>
      <c r="K143" s="392">
        <f>K15</f>
        <v/>
      </c>
      <c r="L143" s="392">
        <f>L15</f>
        <v/>
      </c>
      <c r="M143" s="392">
        <f>M15</f>
        <v/>
      </c>
      <c r="N143" s="130" t="n"/>
      <c r="O143" s="124" t="n"/>
      <c r="P143" s="393" t="n"/>
    </row>
    <row r="144" outlineLevel="1"/>
    <row r="145" outlineLevel="1"/>
    <row r="146" outlineLevel="1">
      <c r="O146" s="114" t="n"/>
    </row>
    <row r="147" outlineLevel="1">
      <c r="B147" s="287" t="inlineStr">
        <is>
          <t>Invested capital</t>
        </is>
      </c>
      <c r="C147" s="288" t="n"/>
      <c r="D147" s="289">
        <f>+M138</f>
        <v/>
      </c>
      <c r="E147" s="290">
        <f>+D147/$D$152</f>
        <v/>
      </c>
      <c r="O147" s="114" t="n"/>
    </row>
    <row r="148" outlineLevel="1" ht="18" customHeight="1">
      <c r="B148" s="291" t="inlineStr">
        <is>
          <t>Present value of competitive advantage</t>
        </is>
      </c>
      <c r="C148" s="292" t="n"/>
      <c r="D148" s="293">
        <f>+M139</f>
        <v/>
      </c>
      <c r="E148" s="294">
        <f>+D148/$D$152</f>
        <v/>
      </c>
      <c r="O148" s="114" t="n"/>
    </row>
    <row r="149" outlineLevel="1">
      <c r="B149" s="234" t="inlineStr">
        <is>
          <t>Earnings Power Value</t>
        </is>
      </c>
      <c r="C149" s="225" t="n"/>
      <c r="D149" s="235">
        <f>+D148+D147</f>
        <v/>
      </c>
      <c r="E149" s="236">
        <f>+E148+E147</f>
        <v/>
      </c>
    </row>
    <row r="150" outlineLevel="1">
      <c r="B150" s="133" t="n"/>
      <c r="D150" s="70" t="n"/>
      <c r="E150" s="30" t="n"/>
    </row>
    <row r="151" outlineLevel="1" ht="18" customHeight="1">
      <c r="B151" s="295" t="inlineStr">
        <is>
          <t>Market Implied value of NOPAT growth</t>
        </is>
      </c>
      <c r="C151" s="296" t="n"/>
      <c r="D151" s="297">
        <f>+M142</f>
        <v/>
      </c>
      <c r="E151" s="298">
        <f>+D151/$D$152</f>
        <v/>
      </c>
    </row>
    <row r="152" outlineLevel="1">
      <c r="B152" s="231" t="inlineStr">
        <is>
          <t>EV</t>
        </is>
      </c>
      <c r="C152" s="232" t="n"/>
      <c r="D152" s="233">
        <f>+M143</f>
        <v/>
      </c>
      <c r="E152" s="134" t="n"/>
    </row>
    <row r="154">
      <c r="B154" s="265" t="n"/>
      <c r="C154" s="265" t="n"/>
      <c r="D154" s="265" t="n"/>
      <c r="E154" s="265" t="n"/>
      <c r="F154" s="265" t="n"/>
      <c r="G154" s="265" t="n"/>
      <c r="H154" s="265" t="n"/>
      <c r="I154" s="265" t="n"/>
      <c r="J154" s="265" t="n"/>
      <c r="K154" s="265" t="n"/>
      <c r="L154" s="265" t="n"/>
      <c r="M154" s="265" t="n"/>
    </row>
  </sheetData>
  <mergeCells count="15">
    <mergeCell ref="O7:P7"/>
    <mergeCell ref="B3:D3"/>
    <mergeCell ref="B28:M28"/>
    <mergeCell ref="B72:M72"/>
    <mergeCell ref="B5:M5"/>
    <mergeCell ref="B136:M136"/>
    <mergeCell ref="B114:M114"/>
    <mergeCell ref="O119:P119"/>
    <mergeCell ref="B102:M102"/>
    <mergeCell ref="B20:E20"/>
    <mergeCell ref="O116:P116"/>
    <mergeCell ref="O121:P121"/>
    <mergeCell ref="O123:P123"/>
    <mergeCell ref="O118:P118"/>
    <mergeCell ref="O124:P124"/>
  </mergeCells>
  <pageMargins left="0.7" right="0.7" top="0.75" bottom="0.75" header="0.3" footer="0.3"/>
  <pageSetup orientation="portrait" horizontalDpi="300" verticalDpi="300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X40"/>
  <sheetViews>
    <sheetView showGridLines="0" topLeftCell="B7" zoomScale="71" zoomScaleNormal="71" workbookViewId="0">
      <selection activeCell="L36" sqref="L36"/>
    </sheetView>
  </sheetViews>
  <sheetFormatPr baseColWidth="10" defaultColWidth="9" defaultRowHeight="15"/>
  <cols>
    <col width="9" customWidth="1" style="2" min="1" max="1"/>
    <col width="47.796875" bestFit="1" customWidth="1" style="2" min="2" max="2"/>
    <col width="12.796875" bestFit="1" customWidth="1" style="2" min="3" max="3"/>
    <col width="15.19921875" bestFit="1" customWidth="1" style="2" min="4" max="7"/>
    <col width="17" customWidth="1" style="2" min="8" max="12"/>
    <col width="9" customWidth="1" style="2" min="13" max="24"/>
    <col width="11.796875" bestFit="1" customWidth="1" style="2" min="25" max="25"/>
    <col width="71.796875" bestFit="1" customWidth="1" style="2" min="26" max="26"/>
    <col width="9" customWidth="1" style="2" min="27" max="16384"/>
  </cols>
  <sheetData>
    <row r="1" ht="16" customHeight="1" thickBot="1"/>
    <row r="2">
      <c r="B2" s="135" t="n"/>
      <c r="C2" s="204">
        <f>Financials!D7</f>
        <v/>
      </c>
      <c r="D2" s="204">
        <f>Financials!E7</f>
        <v/>
      </c>
      <c r="E2" s="204">
        <f>Financials!F7</f>
        <v/>
      </c>
      <c r="F2" s="204">
        <f>Financials!G7</f>
        <v/>
      </c>
      <c r="G2" s="204">
        <f>Financials!H7</f>
        <v/>
      </c>
      <c r="H2" s="204">
        <f>Financials!I7</f>
        <v/>
      </c>
      <c r="I2" s="204">
        <f>Financials!J7</f>
        <v/>
      </c>
      <c r="J2" s="204">
        <f>Financials!K7</f>
        <v/>
      </c>
      <c r="K2" s="204">
        <f>Financials!L7</f>
        <v/>
      </c>
      <c r="L2" s="205">
        <f>Financials!M7</f>
        <v/>
      </c>
      <c r="O2" s="2" t="inlineStr">
        <is>
          <t>Chart Names</t>
        </is>
      </c>
    </row>
    <row r="3">
      <c r="B3" s="136" t="n"/>
      <c r="H3" s="206" t="n"/>
      <c r="I3" s="206" t="n"/>
      <c r="J3" s="206" t="n"/>
      <c r="K3" s="206" t="n"/>
      <c r="L3" s="137" t="n"/>
      <c r="O3" s="8" t="inlineStr">
        <is>
          <t>Top Left</t>
        </is>
      </c>
      <c r="P3" s="8" t="n"/>
      <c r="Q3" s="8">
        <f>Financials!B2 &amp; " "&amp; "("&amp;Financials!B8&amp; ") - Enterprise Value (EV)"</f>
        <v/>
      </c>
      <c r="R3" s="8" t="n"/>
      <c r="S3" s="8" t="n"/>
      <c r="T3" s="8" t="n"/>
      <c r="U3" s="8" t="n"/>
      <c r="V3" s="8" t="n"/>
      <c r="W3" s="8" t="n"/>
      <c r="X3" s="8" t="n"/>
    </row>
    <row r="4">
      <c r="B4" s="237" t="inlineStr">
        <is>
          <t>Invested capital</t>
        </is>
      </c>
      <c r="C4" s="394">
        <f>Financials!D138</f>
        <v/>
      </c>
      <c r="D4" s="394">
        <f>Financials!E138</f>
        <v/>
      </c>
      <c r="E4" s="394">
        <f>Financials!F138</f>
        <v/>
      </c>
      <c r="F4" s="394">
        <f>Financials!G138</f>
        <v/>
      </c>
      <c r="G4" s="394">
        <f>Financials!H138</f>
        <v/>
      </c>
      <c r="H4" s="394">
        <f>Financials!I138</f>
        <v/>
      </c>
      <c r="I4" s="394">
        <f>Financials!J138</f>
        <v/>
      </c>
      <c r="J4" s="394">
        <f>Financials!K138</f>
        <v/>
      </c>
      <c r="K4" s="394">
        <f>Financials!L138</f>
        <v/>
      </c>
      <c r="L4" s="395">
        <f>Financials!M138</f>
        <v/>
      </c>
      <c r="O4" s="8" t="inlineStr">
        <is>
          <t>Top Middle</t>
        </is>
      </c>
      <c r="P4" s="8" t="n"/>
      <c r="Q4" s="8">
        <f>Financials!B2 &amp; " "&amp; "("&amp;Financials!B8&amp; ") - Earnings Power Value (EPV)"</f>
        <v/>
      </c>
      <c r="R4" s="8" t="n"/>
      <c r="S4" s="8" t="n"/>
      <c r="T4" s="8" t="n"/>
      <c r="U4" s="8" t="n"/>
      <c r="V4" s="8" t="n"/>
      <c r="W4" s="8" t="n"/>
      <c r="X4" s="8" t="n"/>
    </row>
    <row r="5" ht="18" customHeight="1">
      <c r="B5" s="271" t="inlineStr">
        <is>
          <t>Present value of competitive advantage</t>
        </is>
      </c>
      <c r="C5" s="396">
        <f>Financials!D139</f>
        <v/>
      </c>
      <c r="D5" s="396">
        <f>Financials!E139</f>
        <v/>
      </c>
      <c r="E5" s="396">
        <f>Financials!F139</f>
        <v/>
      </c>
      <c r="F5" s="396">
        <f>Financials!G139</f>
        <v/>
      </c>
      <c r="G5" s="396">
        <f>Financials!H139</f>
        <v/>
      </c>
      <c r="H5" s="396">
        <f>Financials!I139</f>
        <v/>
      </c>
      <c r="I5" s="396">
        <f>Financials!J139</f>
        <v/>
      </c>
      <c r="J5" s="396">
        <f>Financials!K139</f>
        <v/>
      </c>
      <c r="K5" s="396">
        <f>Financials!L139</f>
        <v/>
      </c>
      <c r="L5" s="397">
        <f>Financials!M139</f>
        <v/>
      </c>
      <c r="O5" s="8" t="inlineStr">
        <is>
          <t>Top Right</t>
        </is>
      </c>
      <c r="P5" s="8" t="n"/>
      <c r="Q5" s="8">
        <f>Financials!B2 &amp; " "&amp; "("&amp;Financials!B8&amp; ") - Earnings Power Value (EPV) (Percentage of EV)"</f>
        <v/>
      </c>
      <c r="R5" s="8" t="n"/>
      <c r="S5" s="8" t="n"/>
      <c r="T5" s="8" t="n"/>
      <c r="U5" s="8" t="n"/>
      <c r="V5" s="8" t="n"/>
      <c r="W5" s="8" t="n"/>
      <c r="X5" s="8" t="n"/>
    </row>
    <row r="6">
      <c r="B6" s="248" t="inlineStr">
        <is>
          <t>Earnings Power Value</t>
        </is>
      </c>
      <c r="C6" s="398">
        <f>Financials!D140</f>
        <v/>
      </c>
      <c r="D6" s="398">
        <f>Financials!E140</f>
        <v/>
      </c>
      <c r="E6" s="398">
        <f>Financials!F140</f>
        <v/>
      </c>
      <c r="F6" s="398">
        <f>Financials!G140</f>
        <v/>
      </c>
      <c r="G6" s="398">
        <f>Financials!H140</f>
        <v/>
      </c>
      <c r="H6" s="398">
        <f>Financials!I140</f>
        <v/>
      </c>
      <c r="I6" s="398">
        <f>Financials!J140</f>
        <v/>
      </c>
      <c r="J6" s="398">
        <f>Financials!K140</f>
        <v/>
      </c>
      <c r="K6" s="398">
        <f>Financials!L140</f>
        <v/>
      </c>
      <c r="L6" s="399">
        <f>Financials!M140</f>
        <v/>
      </c>
      <c r="O6" s="158" t="inlineStr">
        <is>
          <t>Mid Left:</t>
        </is>
      </c>
      <c r="P6" s="158" t="n"/>
      <c r="Q6" s="158">
        <f>Financials!B2 &amp; " "&amp; "("&amp;Financials!B8&amp; ") - Market-Implied Value of NOPAT Growth"</f>
        <v/>
      </c>
      <c r="R6" s="158" t="n"/>
      <c r="S6" s="158" t="n"/>
      <c r="T6" s="158" t="n"/>
      <c r="U6" s="158" t="n"/>
      <c r="V6" s="158" t="n"/>
      <c r="W6" s="158" t="n"/>
      <c r="X6" s="158" t="n"/>
    </row>
    <row r="7">
      <c r="B7" s="242" t="inlineStr">
        <is>
          <t>Market Implied value of NOPAT growth</t>
        </is>
      </c>
      <c r="C7" s="400">
        <f>Financials!D142</f>
        <v/>
      </c>
      <c r="D7" s="400">
        <f>Financials!E142</f>
        <v/>
      </c>
      <c r="E7" s="400">
        <f>Financials!F142</f>
        <v/>
      </c>
      <c r="F7" s="400">
        <f>Financials!G142</f>
        <v/>
      </c>
      <c r="G7" s="400">
        <f>Financials!H142</f>
        <v/>
      </c>
      <c r="H7" s="400">
        <f>Financials!I142</f>
        <v/>
      </c>
      <c r="I7" s="400">
        <f>Financials!J142</f>
        <v/>
      </c>
      <c r="J7" s="400">
        <f>Financials!K142</f>
        <v/>
      </c>
      <c r="K7" s="400">
        <f>Financials!L142</f>
        <v/>
      </c>
      <c r="L7" s="401">
        <f>Financials!M142</f>
        <v/>
      </c>
      <c r="O7" s="158" t="inlineStr">
        <is>
          <t>Mid Right:</t>
        </is>
      </c>
      <c r="P7" s="158" t="n"/>
      <c r="Q7" s="158">
        <f>Financials!B2 &amp; " "&amp; "("&amp;Financials!B8&amp; ") - Historical Valuation in US Thousands"</f>
        <v/>
      </c>
      <c r="R7" s="158" t="n"/>
      <c r="S7" s="158" t="n"/>
      <c r="T7" s="158" t="n"/>
      <c r="U7" s="158" t="n"/>
      <c r="V7" s="158" t="n"/>
      <c r="W7" s="158" t="n"/>
      <c r="X7" s="158" t="n"/>
    </row>
    <row r="8" ht="16" customHeight="1" thickBot="1">
      <c r="B8" s="138" t="inlineStr">
        <is>
          <t>Enterprise Value (EV)</t>
        </is>
      </c>
      <c r="C8" s="402">
        <f>Financials!D143</f>
        <v/>
      </c>
      <c r="D8" s="402">
        <f>Financials!E143</f>
        <v/>
      </c>
      <c r="E8" s="402">
        <f>Financials!F143</f>
        <v/>
      </c>
      <c r="F8" s="402">
        <f>Financials!G143</f>
        <v/>
      </c>
      <c r="G8" s="402">
        <f>Financials!H143</f>
        <v/>
      </c>
      <c r="H8" s="402">
        <f>Financials!I143</f>
        <v/>
      </c>
      <c r="I8" s="402">
        <f>Financials!J143</f>
        <v/>
      </c>
      <c r="J8" s="402">
        <f>Financials!K143</f>
        <v/>
      </c>
      <c r="K8" s="402">
        <f>Financials!L143</f>
        <v/>
      </c>
      <c r="L8" s="403">
        <f>Financials!M143</f>
        <v/>
      </c>
      <c r="O8" s="159" t="inlineStr">
        <is>
          <t>Bottom Left</t>
        </is>
      </c>
      <c r="P8" s="159" t="n"/>
      <c r="Q8" s="159">
        <f>Financials!B2 &amp; " "&amp; "("&amp;Financials!B8&amp; ") - Market-Implied Value of NOPAT Growth"</f>
        <v/>
      </c>
      <c r="R8" s="159" t="n"/>
      <c r="S8" s="159" t="n"/>
      <c r="T8" s="159" t="n"/>
      <c r="U8" s="159" t="n"/>
      <c r="V8" s="159" t="n"/>
      <c r="W8" s="159" t="n"/>
      <c r="X8" s="159" t="n"/>
    </row>
    <row r="9" ht="16" customHeight="1" thickBot="1">
      <c r="O9" s="159" t="inlineStr">
        <is>
          <t>Bottom Right</t>
        </is>
      </c>
      <c r="P9" s="159" t="n"/>
      <c r="Q9" s="159">
        <f>Financials!B2 &amp; " "&amp; "("&amp;Financials!B8&amp; ") - Market-Implied Value of NOPAT Growth (Percentage of EV)"</f>
        <v/>
      </c>
      <c r="R9" s="159" t="n"/>
      <c r="S9" s="159" t="n"/>
      <c r="T9" s="159" t="n"/>
      <c r="U9" s="159" t="n"/>
      <c r="V9" s="159" t="n"/>
      <c r="W9" s="159" t="n"/>
      <c r="X9" s="159" t="n"/>
    </row>
    <row r="10">
      <c r="B10" s="245" t="inlineStr">
        <is>
          <t>Market Implied value of NOPAT growth</t>
        </is>
      </c>
      <c r="C10" s="246">
        <f>C7/C8</f>
        <v/>
      </c>
      <c r="D10" s="246">
        <f>D7/D8</f>
        <v/>
      </c>
      <c r="E10" s="246">
        <f>E7/E8</f>
        <v/>
      </c>
      <c r="F10" s="246">
        <f>F7/F8</f>
        <v/>
      </c>
      <c r="G10" s="246">
        <f>G7/G8</f>
        <v/>
      </c>
      <c r="H10" s="246">
        <f>H7/H8</f>
        <v/>
      </c>
      <c r="I10" s="246">
        <f>I7/I8</f>
        <v/>
      </c>
      <c r="J10" s="246">
        <f>J7/J8</f>
        <v/>
      </c>
      <c r="K10" s="246">
        <f>K7/K8</f>
        <v/>
      </c>
      <c r="L10" s="247">
        <f>L7/L8</f>
        <v/>
      </c>
    </row>
    <row r="11" ht="16" customHeight="1" thickBot="1">
      <c r="B11" s="251" t="inlineStr">
        <is>
          <t>Earnings Power Value</t>
        </is>
      </c>
      <c r="C11" s="252">
        <f>C6/C8</f>
        <v/>
      </c>
      <c r="D11" s="252">
        <f>D6/D8</f>
        <v/>
      </c>
      <c r="E11" s="252">
        <f>E6/E8</f>
        <v/>
      </c>
      <c r="F11" s="252">
        <f>F6/F8</f>
        <v/>
      </c>
      <c r="G11" s="252">
        <f>G6/G8</f>
        <v/>
      </c>
      <c r="H11" s="252">
        <f>H6/H8</f>
        <v/>
      </c>
      <c r="I11" s="252">
        <f>I6/I8</f>
        <v/>
      </c>
      <c r="J11" s="252">
        <f>J6/J8</f>
        <v/>
      </c>
      <c r="K11" s="252">
        <f>K6/K8</f>
        <v/>
      </c>
      <c r="L11" s="253">
        <f>L6/L8</f>
        <v/>
      </c>
    </row>
    <row r="13">
      <c r="C13" s="2">
        <f>+C2</f>
        <v/>
      </c>
      <c r="D13" s="2">
        <f>+D2</f>
        <v/>
      </c>
      <c r="E13" s="2">
        <f>+E2</f>
        <v/>
      </c>
      <c r="F13" s="2">
        <f>+F2</f>
        <v/>
      </c>
      <c r="G13" s="2">
        <f>+G2</f>
        <v/>
      </c>
      <c r="H13" s="2">
        <f>+H2</f>
        <v/>
      </c>
      <c r="I13" s="2">
        <f>+I2</f>
        <v/>
      </c>
      <c r="J13" s="2">
        <f>+J2</f>
        <v/>
      </c>
      <c r="K13" s="2">
        <f>+K2</f>
        <v/>
      </c>
      <c r="L13" s="94">
        <f>+L2</f>
        <v/>
      </c>
    </row>
    <row r="14">
      <c r="B14" s="286" t="inlineStr">
        <is>
          <t>Revenue</t>
        </is>
      </c>
      <c r="C14" s="371">
        <f>+Financials!D31</f>
        <v/>
      </c>
      <c r="D14" s="371">
        <f>+Financials!E31</f>
        <v/>
      </c>
      <c r="E14" s="371">
        <f>+Financials!F31</f>
        <v/>
      </c>
      <c r="F14" s="371">
        <f>+Financials!G31</f>
        <v/>
      </c>
      <c r="G14" s="371">
        <f>+Financials!H31</f>
        <v/>
      </c>
      <c r="H14" s="371">
        <f>+Financials!I31</f>
        <v/>
      </c>
      <c r="I14" s="371">
        <f>+Financials!J31</f>
        <v/>
      </c>
      <c r="J14" s="371">
        <f>+Financials!K31</f>
        <v/>
      </c>
      <c r="K14" s="371">
        <f>+Financials!L31</f>
        <v/>
      </c>
      <c r="L14" s="371">
        <f>+Financials!M31</f>
        <v/>
      </c>
    </row>
    <row r="15">
      <c r="B15" s="286" t="inlineStr">
        <is>
          <t>Operating Margin</t>
        </is>
      </c>
      <c r="C15" s="114">
        <f>+Financials!D39</f>
        <v/>
      </c>
      <c r="D15" s="114">
        <f>+Financials!E39</f>
        <v/>
      </c>
      <c r="E15" s="114">
        <f>+Financials!F39</f>
        <v/>
      </c>
      <c r="F15" s="114">
        <f>+Financials!G39</f>
        <v/>
      </c>
      <c r="G15" s="114">
        <f>+Financials!H39</f>
        <v/>
      </c>
      <c r="H15" s="114">
        <f>+Financials!I39</f>
        <v/>
      </c>
      <c r="I15" s="114">
        <f>+Financials!J39</f>
        <v/>
      </c>
      <c r="J15" s="114">
        <f>+Financials!K39</f>
        <v/>
      </c>
      <c r="K15" s="114">
        <f>+Financials!L39</f>
        <v/>
      </c>
      <c r="L15" s="114">
        <f>+Financials!M39</f>
        <v/>
      </c>
    </row>
    <row r="17">
      <c r="B17" s="154" t="n"/>
      <c r="C17" s="404" t="n"/>
      <c r="D17" s="404" t="n"/>
      <c r="E17" s="404" t="n"/>
      <c r="F17" s="404" t="n"/>
      <c r="G17" s="404" t="n"/>
      <c r="H17" s="404" t="n"/>
    </row>
    <row r="18" ht="18" customHeight="1">
      <c r="B18" s="155" t="n"/>
      <c r="C18" s="405" t="n"/>
      <c r="D18" s="405" t="n"/>
      <c r="E18" s="405" t="n"/>
      <c r="F18" s="405" t="n"/>
      <c r="G18" s="405" t="n"/>
      <c r="H18" s="405" t="n"/>
    </row>
    <row r="19">
      <c r="B19" s="155" t="n"/>
      <c r="C19" s="406" t="n"/>
      <c r="D19" s="406" t="n"/>
      <c r="E19" s="406" t="n"/>
      <c r="F19" s="406" t="n"/>
      <c r="G19" s="406" t="n"/>
      <c r="H19" s="406" t="n"/>
    </row>
    <row r="20">
      <c r="B20" s="155" t="n"/>
      <c r="C20" s="407" t="n"/>
      <c r="D20" s="407" t="n"/>
      <c r="E20" s="407" t="n"/>
      <c r="F20" s="407" t="n"/>
      <c r="G20" s="407" t="n"/>
      <c r="H20" s="407" t="n"/>
    </row>
    <row r="21">
      <c r="B21" s="156" t="n"/>
      <c r="C21" s="404" t="n"/>
      <c r="D21" s="404" t="n"/>
      <c r="E21" s="404" t="n"/>
      <c r="F21" s="404" t="n"/>
      <c r="G21" s="404" t="n"/>
      <c r="H21" s="404" t="n"/>
    </row>
    <row r="24">
      <c r="C24" s="39" t="n"/>
      <c r="D24" s="39" t="n"/>
      <c r="E24" s="39" t="n"/>
      <c r="F24" s="39" t="n"/>
      <c r="G24" s="39" t="n"/>
      <c r="H24" s="39" t="n"/>
    </row>
    <row r="26">
      <c r="B26" s="154" t="n"/>
      <c r="C26" s="404" t="n"/>
      <c r="D26" s="404" t="n"/>
      <c r="E26" s="404" t="n"/>
      <c r="F26" s="404" t="n"/>
      <c r="G26" s="404" t="n"/>
      <c r="H26" s="404" t="n"/>
    </row>
    <row r="27" ht="18" customHeight="1">
      <c r="B27" s="155" t="n"/>
      <c r="C27" s="405" t="n"/>
      <c r="D27" s="405" t="n"/>
      <c r="E27" s="405" t="n"/>
      <c r="F27" s="405" t="n"/>
      <c r="G27" s="405" t="n"/>
      <c r="H27" s="405" t="n"/>
    </row>
    <row r="28">
      <c r="B28" s="155" t="n"/>
      <c r="C28" s="406" t="n"/>
      <c r="D28" s="406" t="n"/>
      <c r="E28" s="406" t="n"/>
      <c r="F28" s="406" t="n"/>
      <c r="G28" s="406" t="n"/>
      <c r="H28" s="406" t="n"/>
    </row>
    <row r="29">
      <c r="B29" s="155" t="n"/>
      <c r="C29" s="407" t="n"/>
      <c r="D29" s="407" t="n"/>
      <c r="E29" s="407" t="n"/>
      <c r="F29" s="407" t="n"/>
      <c r="G29" s="407" t="n"/>
      <c r="H29" s="407" t="n"/>
    </row>
    <row r="30">
      <c r="B30" s="156" t="n"/>
      <c r="C30" s="404" t="n"/>
      <c r="D30" s="404" t="n"/>
      <c r="E30" s="404" t="n"/>
      <c r="F30" s="404" t="n"/>
      <c r="G30" s="404" t="n"/>
      <c r="H30" s="404" t="n"/>
    </row>
    <row r="33">
      <c r="C33" s="39" t="n"/>
      <c r="D33" s="39" t="n"/>
      <c r="E33" s="39" t="n"/>
      <c r="F33" s="39" t="n"/>
      <c r="G33" s="39" t="n"/>
      <c r="H33" s="39" t="n"/>
    </row>
    <row r="35">
      <c r="B35" s="154" t="n"/>
      <c r="C35" s="404" t="n"/>
      <c r="D35" s="404" t="n"/>
      <c r="E35" s="404" t="n"/>
      <c r="F35" s="404" t="n"/>
      <c r="G35" s="404" t="n"/>
      <c r="H35" s="404" t="n"/>
    </row>
    <row r="36" ht="18" customHeight="1">
      <c r="B36" s="155" t="n"/>
      <c r="C36" s="405" t="n"/>
      <c r="D36" s="405" t="n"/>
      <c r="E36" s="405" t="n"/>
      <c r="F36" s="405" t="n"/>
      <c r="G36" s="405" t="n"/>
      <c r="H36" s="405" t="n"/>
    </row>
    <row r="37">
      <c r="B37" s="155" t="n"/>
      <c r="C37" s="406" t="n"/>
      <c r="D37" s="406" t="n"/>
      <c r="E37" s="406" t="n"/>
      <c r="F37" s="406" t="n"/>
      <c r="G37" s="406" t="n"/>
      <c r="H37" s="406" t="n"/>
    </row>
    <row r="38">
      <c r="B38" s="155" t="n"/>
      <c r="C38" s="407" t="n"/>
      <c r="D38" s="407" t="n"/>
      <c r="E38" s="407" t="n"/>
      <c r="F38" s="407" t="n"/>
      <c r="G38" s="407" t="n"/>
      <c r="H38" s="407" t="n"/>
    </row>
    <row r="39">
      <c r="B39" s="156" t="n"/>
      <c r="C39" s="404" t="n"/>
      <c r="D39" s="404" t="n"/>
      <c r="E39" s="404" t="n"/>
      <c r="F39" s="404" t="n"/>
      <c r="G39" s="404" t="n"/>
      <c r="H39" s="404" t="n"/>
    </row>
    <row r="40">
      <c r="C40" s="408" t="n"/>
      <c r="D40" s="408" t="n"/>
      <c r="E40" s="408" t="n"/>
      <c r="F40" s="408" t="n"/>
      <c r="G40" s="408" t="n"/>
      <c r="H40" s="408" t="n"/>
    </row>
  </sheetData>
  <pageMargins left="0.7" right="0.7" top="0.75" bottom="0.75" header="0.3" footer="0.3"/>
  <pageSetup orientation="portrait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L21"/>
  <sheetViews>
    <sheetView showGridLines="0" zoomScale="87" zoomScaleNormal="87" workbookViewId="0">
      <selection activeCell="B7" sqref="B7"/>
    </sheetView>
  </sheetViews>
  <sheetFormatPr baseColWidth="10" defaultColWidth="9" defaultRowHeight="15"/>
  <cols>
    <col width="9" customWidth="1" style="2" min="1" max="1"/>
    <col width="15.796875" customWidth="1" style="2" min="2" max="2"/>
    <col width="10.796875" bestFit="1" customWidth="1" style="2" min="3" max="3"/>
    <col width="10.59765625" bestFit="1" customWidth="1" style="2" min="4" max="8"/>
    <col width="9" customWidth="1" style="2" min="9" max="16384"/>
  </cols>
  <sheetData>
    <row r="2">
      <c r="B2" s="183" t="n"/>
      <c r="C2" s="184">
        <f>Financials!D116</f>
        <v/>
      </c>
      <c r="D2" s="184">
        <f>Financials!E116</f>
        <v/>
      </c>
      <c r="E2" s="184">
        <f>Financials!F116</f>
        <v/>
      </c>
      <c r="F2" s="184">
        <f>Financials!G116</f>
        <v/>
      </c>
      <c r="G2" s="184">
        <f>Financials!H116</f>
        <v/>
      </c>
      <c r="H2" s="184">
        <f>Financials!I116</f>
        <v/>
      </c>
      <c r="I2" s="184">
        <f>Financials!J116</f>
        <v/>
      </c>
      <c r="J2" s="184">
        <f>Financials!K116</f>
        <v/>
      </c>
      <c r="K2" s="184">
        <f>Financials!L116</f>
        <v/>
      </c>
      <c r="L2" s="185">
        <f>Financials!M116</f>
        <v/>
      </c>
    </row>
    <row r="3">
      <c r="B3" s="143" t="inlineStr">
        <is>
          <t>ROIC</t>
        </is>
      </c>
      <c r="C3" s="147">
        <f>Financials!D133</f>
        <v/>
      </c>
      <c r="D3" s="147">
        <f>Financials!E133</f>
        <v/>
      </c>
      <c r="E3" s="147">
        <f>Financials!F133</f>
        <v/>
      </c>
      <c r="F3" s="147">
        <f>Financials!G133</f>
        <v/>
      </c>
      <c r="G3" s="147">
        <f>Financials!H133</f>
        <v/>
      </c>
      <c r="H3" s="147">
        <f>Financials!I133</f>
        <v/>
      </c>
      <c r="I3" s="147">
        <f>Financials!J133</f>
        <v/>
      </c>
      <c r="J3" s="147">
        <f>Financials!K133</f>
        <v/>
      </c>
      <c r="K3" s="147">
        <f>Financials!L133</f>
        <v/>
      </c>
      <c r="L3" s="148">
        <f>Financials!M133</f>
        <v/>
      </c>
    </row>
    <row r="5">
      <c r="B5" s="183" t="n"/>
      <c r="C5" s="184">
        <f>Financials!D116</f>
        <v/>
      </c>
      <c r="D5" s="184">
        <f>Financials!E116</f>
        <v/>
      </c>
      <c r="E5" s="184">
        <f>Financials!F116</f>
        <v/>
      </c>
      <c r="F5" s="184">
        <f>Financials!G116</f>
        <v/>
      </c>
      <c r="G5" s="184">
        <f>Financials!H116</f>
        <v/>
      </c>
      <c r="H5" s="184">
        <f>Financials!I116</f>
        <v/>
      </c>
      <c r="I5" s="184">
        <f>Financials!J116</f>
        <v/>
      </c>
      <c r="J5" s="184">
        <f>Financials!K116</f>
        <v/>
      </c>
      <c r="K5" s="184">
        <f>Financials!L116</f>
        <v/>
      </c>
      <c r="L5" s="185">
        <f>Financials!M116</f>
        <v/>
      </c>
    </row>
    <row r="6">
      <c r="B6" s="144" t="inlineStr">
        <is>
          <t>ROIC</t>
        </is>
      </c>
      <c r="C6" s="145">
        <f>C3</f>
        <v/>
      </c>
      <c r="D6" s="145">
        <f>D3</f>
        <v/>
      </c>
      <c r="E6" s="145">
        <f>E3</f>
        <v/>
      </c>
      <c r="F6" s="145">
        <f>F3</f>
        <v/>
      </c>
      <c r="G6" s="145">
        <f>G3</f>
        <v/>
      </c>
      <c r="H6" s="145">
        <f>H3</f>
        <v/>
      </c>
      <c r="I6" s="145">
        <f>I3</f>
        <v/>
      </c>
      <c r="J6" s="145">
        <f>J3</f>
        <v/>
      </c>
      <c r="K6" s="145">
        <f>K3</f>
        <v/>
      </c>
      <c r="L6" s="146">
        <f>L3</f>
        <v/>
      </c>
    </row>
    <row r="7">
      <c r="B7" s="186" t="inlineStr">
        <is>
          <t>Cost of Capital</t>
        </is>
      </c>
      <c r="C7" s="187" t="n">
        <v>0.1</v>
      </c>
      <c r="D7" s="187">
        <f>Financials!E134</f>
        <v/>
      </c>
      <c r="E7" s="187">
        <f>Financials!F134</f>
        <v/>
      </c>
      <c r="F7" s="187">
        <f>Financials!G134</f>
        <v/>
      </c>
      <c r="G7" s="187">
        <f>Financials!H134</f>
        <v/>
      </c>
      <c r="H7" s="187">
        <f>Financials!I134</f>
        <v/>
      </c>
      <c r="I7" s="187">
        <f>Financials!J134</f>
        <v/>
      </c>
      <c r="J7" s="187">
        <f>Financials!K134</f>
        <v/>
      </c>
      <c r="K7" s="187">
        <f>Financials!L134</f>
        <v/>
      </c>
      <c r="L7" s="188" t="n">
        <v>0.1</v>
      </c>
    </row>
    <row r="8">
      <c r="B8" s="208" t="n"/>
      <c r="C8" s="209" t="n"/>
      <c r="D8" s="209" t="n"/>
      <c r="E8" s="209" t="n"/>
      <c r="F8" s="209" t="n"/>
      <c r="G8" s="209" t="n"/>
      <c r="H8" s="209" t="n"/>
      <c r="I8" s="209" t="n"/>
    </row>
    <row r="9">
      <c r="B9" s="183" t="n"/>
      <c r="C9" s="184">
        <f>+C2</f>
        <v/>
      </c>
      <c r="D9" s="184">
        <f>+D2</f>
        <v/>
      </c>
      <c r="E9" s="184">
        <f>+E2</f>
        <v/>
      </c>
      <c r="F9" s="184">
        <f>+F2</f>
        <v/>
      </c>
      <c r="G9" s="184">
        <f>+G2</f>
        <v/>
      </c>
      <c r="H9" s="184">
        <f>+H2</f>
        <v/>
      </c>
      <c r="I9" s="184">
        <f>+I2</f>
        <v/>
      </c>
      <c r="J9" s="184">
        <f>+J2</f>
        <v/>
      </c>
      <c r="K9" s="184">
        <f>+K2</f>
        <v/>
      </c>
      <c r="L9" s="185">
        <f>+L2</f>
        <v/>
      </c>
    </row>
    <row r="10">
      <c r="B10" s="279" t="inlineStr">
        <is>
          <t>% margin</t>
        </is>
      </c>
      <c r="C10" s="282">
        <f>+Financials!D124</f>
        <v/>
      </c>
      <c r="D10" s="282">
        <f>+Financials!E124</f>
        <v/>
      </c>
      <c r="E10" s="282">
        <f>+Financials!F124</f>
        <v/>
      </c>
      <c r="F10" s="282">
        <f>+Financials!G124</f>
        <v/>
      </c>
      <c r="G10" s="282">
        <f>+Financials!H124</f>
        <v/>
      </c>
      <c r="H10" s="282">
        <f>+Financials!I124</f>
        <v/>
      </c>
      <c r="I10" s="282">
        <f>+Financials!J124</f>
        <v/>
      </c>
      <c r="J10" s="282">
        <f>+Financials!K124</f>
        <v/>
      </c>
      <c r="K10" s="282">
        <f>+Financials!L124</f>
        <v/>
      </c>
      <c r="L10" s="283">
        <f>+Financials!M124</f>
        <v/>
      </c>
    </row>
    <row r="11">
      <c r="B11" s="279" t="inlineStr">
        <is>
          <t>Scale</t>
        </is>
      </c>
      <c r="C11" s="280">
        <f>+Financials!D131</f>
        <v/>
      </c>
      <c r="D11" s="280">
        <f>+Financials!E131</f>
        <v/>
      </c>
      <c r="E11" s="280">
        <f>+Financials!F131</f>
        <v/>
      </c>
      <c r="F11" s="280">
        <f>+Financials!G131</f>
        <v/>
      </c>
      <c r="G11" s="280">
        <f>+Financials!H131</f>
        <v/>
      </c>
      <c r="H11" s="280">
        <f>+Financials!I131</f>
        <v/>
      </c>
      <c r="I11" s="280">
        <f>+Financials!J131</f>
        <v/>
      </c>
      <c r="J11" s="280">
        <f>+Financials!K131</f>
        <v/>
      </c>
      <c r="K11" s="280">
        <f>+Financials!L131</f>
        <v/>
      </c>
      <c r="L11" s="284">
        <f>+Financials!M131</f>
        <v/>
      </c>
    </row>
    <row r="12">
      <c r="B12" s="186" t="inlineStr">
        <is>
          <t>ROIC</t>
        </is>
      </c>
      <c r="C12" s="281">
        <f>+C10*C11</f>
        <v/>
      </c>
      <c r="D12" s="281">
        <f>+D10*D11</f>
        <v/>
      </c>
      <c r="E12" s="281">
        <f>+E10*E11</f>
        <v/>
      </c>
      <c r="F12" s="281">
        <f>+F10*F11</f>
        <v/>
      </c>
      <c r="G12" s="281">
        <f>+G10*G11</f>
        <v/>
      </c>
      <c r="H12" s="281">
        <f>+H10*H11</f>
        <v/>
      </c>
      <c r="I12" s="281">
        <f>+I10*I11</f>
        <v/>
      </c>
      <c r="J12" s="281">
        <f>+J10*J11</f>
        <v/>
      </c>
      <c r="K12" s="281">
        <f>+K10*K11</f>
        <v/>
      </c>
      <c r="L12" s="285">
        <f>+L10*L11</f>
        <v/>
      </c>
    </row>
    <row r="13">
      <c r="B13" s="208" t="n"/>
      <c r="C13" s="209" t="n"/>
      <c r="D13" s="209" t="n"/>
      <c r="E13" s="209" t="n"/>
      <c r="F13" s="209" t="n"/>
      <c r="G13" s="209" t="n"/>
      <c r="H13" s="209" t="n"/>
      <c r="I13" s="209" t="n"/>
    </row>
    <row r="14">
      <c r="B14" s="208" t="n"/>
      <c r="C14" s="212">
        <f>C5</f>
        <v/>
      </c>
      <c r="D14" s="212">
        <f>D5</f>
        <v/>
      </c>
      <c r="E14" s="212">
        <f>E5</f>
        <v/>
      </c>
      <c r="F14" s="212">
        <f>F5</f>
        <v/>
      </c>
      <c r="G14" s="212">
        <f>G5</f>
        <v/>
      </c>
      <c r="H14" s="212">
        <f>H5</f>
        <v/>
      </c>
      <c r="I14" s="212">
        <f>I5</f>
        <v/>
      </c>
      <c r="J14" s="12" t="n">
        <v>2022</v>
      </c>
      <c r="K14" s="12" t="n">
        <v>2023</v>
      </c>
      <c r="L14" s="98">
        <f>+L2</f>
        <v/>
      </c>
    </row>
    <row r="15">
      <c r="B15" s="210" t="inlineStr">
        <is>
          <t>SHAK - scale</t>
        </is>
      </c>
      <c r="C15" s="211">
        <f>Financials!D131</f>
        <v/>
      </c>
      <c r="D15" s="211">
        <f>Financials!E131</f>
        <v/>
      </c>
      <c r="E15" s="211">
        <f>Financials!F131</f>
        <v/>
      </c>
      <c r="F15" s="211">
        <f>Financials!G131</f>
        <v/>
      </c>
      <c r="G15" s="211">
        <f>Financials!H131</f>
        <v/>
      </c>
      <c r="H15" s="211">
        <f>Financials!I131</f>
        <v/>
      </c>
      <c r="I15" s="211">
        <f>Financials!J131</f>
        <v/>
      </c>
      <c r="J15" s="211">
        <f>Financials!K131</f>
        <v/>
      </c>
      <c r="K15" s="211">
        <f>Financials!L131</f>
        <v/>
      </c>
      <c r="L15" s="211">
        <f>Financials!M131</f>
        <v/>
      </c>
    </row>
    <row r="16">
      <c r="B16" s="210" t="inlineStr">
        <is>
          <t>CMG - scale</t>
        </is>
      </c>
      <c r="C16" s="272" t="n">
        <v>2.569239603257368</v>
      </c>
      <c r="D16" s="272" t="n">
        <v>2.528529944331184</v>
      </c>
      <c r="E16" s="272" t="n">
        <v>2.722711074319644</v>
      </c>
      <c r="F16" s="272" t="n">
        <v>2.789405272880934</v>
      </c>
      <c r="G16" s="272" t="n">
        <v>1.278416689627521</v>
      </c>
      <c r="H16" s="272" t="n">
        <v>1.209139837846149</v>
      </c>
      <c r="I16" s="272" t="n">
        <v>1.398781455647662</v>
      </c>
      <c r="J16" s="272" t="n">
        <v>1.567797111796156</v>
      </c>
      <c r="K16" s="272" t="n">
        <v>1.56</v>
      </c>
      <c r="L16" s="272" t="n"/>
    </row>
    <row r="17">
      <c r="B17" s="210" t="inlineStr">
        <is>
          <t>MCD - scale</t>
        </is>
      </c>
      <c r="C17" s="211" t="n"/>
      <c r="D17" s="211" t="n"/>
      <c r="E17" s="211" t="n"/>
      <c r="F17" s="211" t="n"/>
      <c r="G17" s="211" t="n"/>
      <c r="H17" s="211" t="n"/>
      <c r="I17" s="211" t="n"/>
      <c r="J17" s="38" t="n"/>
      <c r="K17" s="38" t="n"/>
    </row>
    <row r="18">
      <c r="B18" s="210" t="n"/>
      <c r="C18" s="211" t="n"/>
      <c r="D18" s="211" t="n"/>
      <c r="E18" s="211" t="n"/>
      <c r="F18" s="211" t="n"/>
      <c r="G18" s="211" t="n"/>
      <c r="H18" s="211" t="n"/>
      <c r="I18" s="211" t="n"/>
      <c r="J18" s="38" t="n"/>
      <c r="K18" s="38" t="n"/>
    </row>
    <row r="19">
      <c r="B19" s="213" t="inlineStr">
        <is>
          <t>SHAK - operating margin</t>
        </is>
      </c>
      <c r="C19" s="211" t="n"/>
      <c r="D19" s="211" t="n"/>
      <c r="E19" s="211" t="n"/>
      <c r="F19" s="211" t="n"/>
      <c r="G19" s="211" t="n"/>
      <c r="H19" s="211" t="n"/>
      <c r="I19" s="211" t="n"/>
      <c r="J19" s="38" t="n"/>
      <c r="K19" s="38" t="n"/>
    </row>
    <row r="20">
      <c r="B20" s="213" t="inlineStr">
        <is>
          <t>CMG operating margin</t>
        </is>
      </c>
      <c r="C20" s="209" t="n"/>
      <c r="D20" s="209" t="n"/>
      <c r="E20" s="209" t="n"/>
      <c r="F20" s="209" t="n"/>
      <c r="G20" s="209" t="n"/>
      <c r="H20" s="209" t="n"/>
      <c r="I20" s="209" t="n"/>
    </row>
    <row r="21">
      <c r="B21" s="213" t="inlineStr">
        <is>
          <t>MCD - operating margin</t>
        </is>
      </c>
      <c r="C21" s="209" t="n">
        <v>0.2894148664069571</v>
      </c>
      <c r="D21" s="209" t="n">
        <v>0.3175866130538971</v>
      </c>
      <c r="E21" s="209" t="n">
        <v>0.3676315927854025</v>
      </c>
      <c r="F21" s="209" t="n">
        <v>0.4060796221639956</v>
      </c>
      <c r="G21" s="209" t="n">
        <v>0.418921196008313</v>
      </c>
      <c r="H21" s="209" t="n">
        <v>0.381303428815377</v>
      </c>
      <c r="I21" s="209" t="n">
        <v>0.4459391376615325</v>
      </c>
    </row>
  </sheetData>
  <pageMargins left="0.7" right="0.7" top="0.75" bottom="0.75" header="0.3" footer="0.3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Alec Lucas</dc:creator>
  <dcterms:created xmlns:dcterms="http://purl.org/dc/terms/" xmlns:xsi="http://www.w3.org/2001/XMLSchema-instance" xsi:type="dcterms:W3CDTF">2020-06-15T14:02:05Z</dcterms:created>
  <dcterms:modified xmlns:dcterms="http://purl.org/dc/terms/" xmlns:xsi="http://www.w3.org/2001/XMLSchema-instance" xsi:type="dcterms:W3CDTF">2025-11-17T22:53:22Z</dcterms:modified>
  <cp:lastModifiedBy>Liam Barlev (2026)</cp:lastModifiedBy>
</cp:coreProperties>
</file>